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0.50\FileServer\1251環境政策室\1203環境保全担当\■環境保全係\21  地球温暖化対策関連\補助金\06 重点対策加速化事業\R7\06　要綱\"/>
    </mc:Choice>
  </mc:AlternateContent>
  <workbookProtection workbookPassword="CC7B" lockStructure="1"/>
  <bookViews>
    <workbookView xWindow="-120" yWindow="-120" windowWidth="8235" windowHeight="10680"/>
  </bookViews>
  <sheets>
    <sheet name="計算シート" sheetId="1" r:id="rId1"/>
    <sheet name="詳細試算" sheetId="4" state="hidden" r:id="rId2"/>
    <sheet name="テーブル" sheetId="2" state="hidden" r:id="rId3"/>
  </sheets>
  <definedNames>
    <definedName name="_xlnm.Print_Area" localSheetId="1">詳細試算!$A$1:$Y$46</definedName>
    <definedName name="冷媒Ｐ">#REF!</definedName>
    <definedName name="冷媒Ｐ２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4" l="1"/>
  <c r="P45" i="4" s="1"/>
  <c r="P46" i="4" s="1"/>
  <c r="G30" i="4"/>
  <c r="F45" i="4"/>
  <c r="F39" i="4"/>
  <c r="G45" i="4" l="1"/>
  <c r="G46" i="4" s="1"/>
  <c r="O45" i="4"/>
  <c r="O46" i="4" s="1"/>
  <c r="H45" i="4"/>
  <c r="H46" i="4" s="1"/>
  <c r="J45" i="4"/>
  <c r="J46" i="4" s="1"/>
  <c r="R45" i="4"/>
  <c r="R46" i="4" s="1"/>
  <c r="K45" i="4"/>
  <c r="K46" i="4" s="1"/>
  <c r="I45" i="4"/>
  <c r="I46" i="4" s="1"/>
  <c r="M45" i="4"/>
  <c r="M46" i="4" s="1"/>
  <c r="Q45" i="4"/>
  <c r="Q46" i="4" s="1"/>
  <c r="L45" i="4"/>
  <c r="L46" i="4" s="1"/>
  <c r="N45" i="4"/>
  <c r="N46" i="4" s="1"/>
  <c r="M3" i="4"/>
  <c r="S45" i="4" l="1"/>
  <c r="S46" i="4"/>
  <c r="G39" i="4"/>
  <c r="G40" i="4" l="1"/>
  <c r="Q39" i="4"/>
  <c r="Q40" i="4" s="1"/>
  <c r="M39" i="4"/>
  <c r="M40" i="4" s="1"/>
  <c r="L39" i="4"/>
  <c r="L40" i="4" s="1"/>
  <c r="J39" i="4"/>
  <c r="J40" i="4" s="1"/>
  <c r="K39" i="4"/>
  <c r="K40" i="4" s="1"/>
  <c r="H39" i="4"/>
  <c r="H40" i="4" s="1"/>
  <c r="R39" i="4"/>
  <c r="R40" i="4" s="1"/>
  <c r="I39" i="4"/>
  <c r="I40" i="4" s="1"/>
  <c r="O39" i="4"/>
  <c r="O40" i="4" s="1"/>
  <c r="P39" i="4"/>
  <c r="P40" i="4" s="1"/>
  <c r="N39" i="4"/>
  <c r="N40" i="4" s="1"/>
  <c r="F24" i="4"/>
  <c r="F17" i="4"/>
  <c r="E24" i="1" l="1"/>
  <c r="S39" i="4"/>
  <c r="L24" i="1" s="1"/>
  <c r="S40" i="4"/>
  <c r="L25" i="1" s="1"/>
  <c r="C24" i="1"/>
  <c r="M5" i="4" l="1"/>
  <c r="J14" i="1" l="1"/>
  <c r="P4" i="4" l="1"/>
  <c r="G31" i="4" s="1"/>
  <c r="M30" i="4" l="1"/>
  <c r="H30" i="4"/>
  <c r="N30" i="4"/>
  <c r="P6" i="4"/>
  <c r="R30" i="4" l="1"/>
  <c r="R31" i="4" s="1"/>
  <c r="O30" i="4"/>
  <c r="O31" i="4" s="1"/>
  <c r="Q30" i="4"/>
  <c r="P30" i="4"/>
  <c r="Q5" i="4"/>
  <c r="Q6" i="4"/>
  <c r="Q4" i="4"/>
  <c r="P5" i="4"/>
  <c r="J30" i="4" l="1"/>
  <c r="K30" i="4"/>
  <c r="L30" i="4"/>
  <c r="I30" i="4"/>
  <c r="R4" i="4"/>
  <c r="G12" i="4" s="1"/>
  <c r="N32" i="4"/>
  <c r="N33" i="4" s="1"/>
  <c r="M32" i="4"/>
  <c r="M33" i="4" s="1"/>
  <c r="H32" i="4"/>
  <c r="H33" i="4" s="1"/>
  <c r="G32" i="4"/>
  <c r="G33" i="4" s="1"/>
  <c r="R32" i="4"/>
  <c r="R33" i="4" s="1"/>
  <c r="Q32" i="4"/>
  <c r="Q33" i="4" s="1"/>
  <c r="P32" i="4"/>
  <c r="P33" i="4" s="1"/>
  <c r="O32" i="4"/>
  <c r="O33" i="4" s="1"/>
  <c r="L32" i="4"/>
  <c r="L33" i="4" s="1"/>
  <c r="I32" i="4"/>
  <c r="J32" i="4"/>
  <c r="J33" i="4" s="1"/>
  <c r="K32" i="4"/>
  <c r="K33" i="4" s="1"/>
  <c r="C22" i="4"/>
  <c r="C15" i="4"/>
  <c r="G17" i="4" l="1"/>
  <c r="G18" i="4" s="1"/>
  <c r="G24" i="4"/>
  <c r="G25" i="4" s="1"/>
  <c r="H12" i="4"/>
  <c r="H24" i="4" s="1"/>
  <c r="H25" i="4" s="1"/>
  <c r="N12" i="4"/>
  <c r="N24" i="4" s="1"/>
  <c r="N25" i="4" s="1"/>
  <c r="I33" i="4"/>
  <c r="S33" i="4" s="1"/>
  <c r="S32" i="4"/>
  <c r="N31" i="4"/>
  <c r="H31" i="4"/>
  <c r="R6" i="4"/>
  <c r="P12" i="4" s="1"/>
  <c r="R5" i="4"/>
  <c r="H17" i="4" l="1"/>
  <c r="H18" i="4" s="1"/>
  <c r="N17" i="4"/>
  <c r="N18" i="4" s="1"/>
  <c r="P24" i="4"/>
  <c r="P25" i="4" s="1"/>
  <c r="P17" i="4"/>
  <c r="P18" i="4" s="1"/>
  <c r="P31" i="4"/>
  <c r="L12" i="4"/>
  <c r="I12" i="4"/>
  <c r="R12" i="4"/>
  <c r="R24" i="4" s="1"/>
  <c r="R25" i="4" s="1"/>
  <c r="Q12" i="4"/>
  <c r="Q24" i="4" s="1"/>
  <c r="Q25" i="4" s="1"/>
  <c r="O12" i="4"/>
  <c r="O24" i="4" s="1"/>
  <c r="O25" i="4" s="1"/>
  <c r="K12" i="4"/>
  <c r="K24" i="4" s="1"/>
  <c r="K25" i="4" s="1"/>
  <c r="J12" i="4"/>
  <c r="J24" i="4" s="1"/>
  <c r="J25" i="4" s="1"/>
  <c r="M12" i="4"/>
  <c r="M24" i="4" s="1"/>
  <c r="M25" i="4" s="1"/>
  <c r="L17" i="4" l="1"/>
  <c r="L18" i="4" s="1"/>
  <c r="L24" i="4"/>
  <c r="L25" i="4" s="1"/>
  <c r="I17" i="4"/>
  <c r="I18" i="4" s="1"/>
  <c r="I24" i="4"/>
  <c r="M31" i="4"/>
  <c r="M17" i="4"/>
  <c r="M18" i="4" s="1"/>
  <c r="Q31" i="4"/>
  <c r="Q17" i="4"/>
  <c r="Q18" i="4" s="1"/>
  <c r="O17" i="4"/>
  <c r="O18" i="4" s="1"/>
  <c r="J31" i="4"/>
  <c r="J17" i="4"/>
  <c r="J18" i="4" s="1"/>
  <c r="R17" i="4"/>
  <c r="R18" i="4" s="1"/>
  <c r="K31" i="4"/>
  <c r="K17" i="4"/>
  <c r="K18" i="4" s="1"/>
  <c r="I31" i="4"/>
  <c r="L31" i="4"/>
  <c r="S12" i="4"/>
  <c r="S18" i="4" l="1"/>
  <c r="I25" i="4"/>
  <c r="S25" i="4" s="1"/>
  <c r="D25" i="1" s="1"/>
  <c r="S24" i="4"/>
  <c r="D24" i="1" s="1"/>
  <c r="S30" i="4"/>
  <c r="J24" i="1" s="1"/>
  <c r="S31" i="4"/>
  <c r="J25" i="1" s="1"/>
  <c r="S17" i="4"/>
  <c r="B24" i="1" s="1"/>
  <c r="B25" i="1" l="1"/>
  <c r="D26" i="1" s="1"/>
  <c r="S11" i="4"/>
  <c r="A27" i="1" l="1"/>
  <c r="L26" i="1" l="1"/>
  <c r="I27" i="1" s="1"/>
</calcChain>
</file>

<file path=xl/comments1.xml><?xml version="1.0" encoding="utf-8"?>
<comments xmlns="http://schemas.openxmlformats.org/spreadsheetml/2006/main">
  <authors>
    <author>長谷川　季男</author>
  </authors>
  <commentList>
    <comment ref="B1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電気温水器を選択した
場合は入力不要です.</t>
        </r>
      </text>
    </comment>
  </commentList>
</comments>
</file>

<file path=xl/comments2.xml><?xml version="1.0" encoding="utf-8"?>
<comments xmlns="http://schemas.openxmlformats.org/spreadsheetml/2006/main">
  <authors>
    <author>平田　裕樹</author>
  </authors>
  <commentList>
    <comment ref="G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岩谷産業株式会社HPを参考</t>
        </r>
      </text>
    </comment>
    <comment ref="I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環境省　CO2排出係数参考</t>
        </r>
      </text>
    </commen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岩谷産業株式会社HPのプロパンガスの行為発熱量を参考</t>
        </r>
      </text>
    </comment>
    <comment ref="I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岩谷産業株式会社HPのLPGのCO2排出量を単位換算（3/0.458（LPガスのkg m3換算係数））</t>
        </r>
      </text>
    </comment>
    <comment ref="G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大阪ガス総発熱量</t>
        </r>
      </text>
    </comment>
    <comment ref="I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大阪ガスHP参考</t>
        </r>
      </text>
    </comment>
    <comment ref="I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R6年度関西電力㈱基礎排出係数（和泉市のシェアトップ）</t>
        </r>
      </text>
    </comment>
  </commentList>
</comments>
</file>

<file path=xl/sharedStrings.xml><?xml version="1.0" encoding="utf-8"?>
<sst xmlns="http://schemas.openxmlformats.org/spreadsheetml/2006/main" count="278" uniqueCount="135">
  <si>
    <t>ご家庭の人数</t>
    <rPh sb="1" eb="3">
      <t>カテイ</t>
    </rPh>
    <rPh sb="4" eb="6">
      <t>ニンズウ</t>
    </rPh>
    <phoneticPr fontId="1"/>
  </si>
  <si>
    <t>2～3人</t>
    <rPh sb="3" eb="4">
      <t>ニン</t>
    </rPh>
    <phoneticPr fontId="1"/>
  </si>
  <si>
    <t>4～5人</t>
    <rPh sb="3" eb="4">
      <t>ニン</t>
    </rPh>
    <phoneticPr fontId="1"/>
  </si>
  <si>
    <t>■ エネルギー使用想定</t>
    <rPh sb="7" eb="9">
      <t>シヨウ</t>
    </rPh>
    <rPh sb="9" eb="11">
      <t>ソウテイ</t>
    </rPh>
    <phoneticPr fontId="6"/>
  </si>
  <si>
    <t>各種換算係数</t>
    <rPh sb="0" eb="2">
      <t>カクシュ</t>
    </rPh>
    <rPh sb="2" eb="4">
      <t>カンザン</t>
    </rPh>
    <rPh sb="4" eb="6">
      <t>ケイスウ</t>
    </rPh>
    <phoneticPr fontId="6"/>
  </si>
  <si>
    <t>灯油</t>
    <rPh sb="0" eb="2">
      <t>トウユ</t>
    </rPh>
    <phoneticPr fontId="6"/>
  </si>
  <si>
    <t>MJ/Ⅼ</t>
    <phoneticPr fontId="6"/>
  </si>
  <si>
    <t>kg-CO2/L</t>
    <phoneticPr fontId="6"/>
  </si>
  <si>
    <t>冬期</t>
    <rPh sb="0" eb="2">
      <t>トウキ</t>
    </rPh>
    <phoneticPr fontId="6"/>
  </si>
  <si>
    <t>中間期</t>
    <rPh sb="0" eb="3">
      <t>チュウカンキ</t>
    </rPh>
    <phoneticPr fontId="6"/>
  </si>
  <si>
    <t>MJ/日</t>
    <rPh sb="3" eb="4">
      <t>ニチ</t>
    </rPh>
    <phoneticPr fontId="6"/>
  </si>
  <si>
    <t>電力</t>
    <rPh sb="0" eb="2">
      <t>デンリョク</t>
    </rPh>
    <phoneticPr fontId="6"/>
  </si>
  <si>
    <t>MJ/kWh</t>
    <phoneticPr fontId="6"/>
  </si>
  <si>
    <t>kg-CO2/kWh</t>
  </si>
  <si>
    <t>夏期</t>
    <rPh sb="0" eb="2">
      <t>カキ</t>
    </rPh>
    <phoneticPr fontId="6"/>
  </si>
  <si>
    <t>■給湯負荷</t>
    <rPh sb="1" eb="5">
      <t>キュウトウフカ</t>
    </rPh>
    <phoneticPr fontId="6"/>
  </si>
  <si>
    <t>単位</t>
    <rPh sb="0" eb="2">
      <t>タンイ</t>
    </rPh>
    <phoneticPr fontId="6"/>
  </si>
  <si>
    <t>4月</t>
    <rPh sb="1" eb="2">
      <t>ガツ</t>
    </rPh>
    <phoneticPr fontId="6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</si>
  <si>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</si>
  <si>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</si>
  <si>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</si>
  <si>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</si>
  <si>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</si>
  <si>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</si>
  <si>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</si>
  <si>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</si>
  <si>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</si>
  <si>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</si>
  <si>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</si>
  <si>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6"/>
  </si>
  <si>
    <t>日数</t>
    <rPh sb="0" eb="2">
      <t>ニッスウ</t>
    </rPh>
    <phoneticPr fontId="6"/>
  </si>
  <si>
    <t>日</t>
    <rPh sb="0" eb="1">
      <t>ニチ</t>
    </rPh>
    <phoneticPr fontId="6"/>
  </si>
  <si>
    <t>月間給湯負荷</t>
    <rPh sb="0" eb="2">
      <t>ゲッカン</t>
    </rPh>
    <rPh sb="2" eb="4">
      <t>キュウトウ</t>
    </rPh>
    <rPh sb="4" eb="6">
      <t>フカ</t>
    </rPh>
    <phoneticPr fontId="6"/>
  </si>
  <si>
    <t>MJ</t>
    <phoneticPr fontId="6"/>
  </si>
  <si>
    <t>消費電力量</t>
    <rPh sb="0" eb="5">
      <t>ショウヒデンリョクリョウ</t>
    </rPh>
    <phoneticPr fontId="6"/>
  </si>
  <si>
    <t>CO2排出量（電力）</t>
    <rPh sb="7" eb="9">
      <t>デンリョク</t>
    </rPh>
    <phoneticPr fontId="6"/>
  </si>
  <si>
    <t>kg</t>
  </si>
  <si>
    <t>MJ/㎥</t>
    <phoneticPr fontId="6"/>
  </si>
  <si>
    <t>kg-CO2/㎥</t>
    <phoneticPr fontId="6"/>
  </si>
  <si>
    <t>採用値</t>
    <rPh sb="0" eb="2">
      <t>サイヨウ</t>
    </rPh>
    <rPh sb="2" eb="3">
      <t>チ</t>
    </rPh>
    <phoneticPr fontId="1"/>
  </si>
  <si>
    <t>更新前</t>
    <rPh sb="0" eb="3">
      <t>コウシンマエ</t>
    </rPh>
    <phoneticPr fontId="1"/>
  </si>
  <si>
    <t>更新後</t>
    <rPh sb="0" eb="3">
      <t>コウシンゴ</t>
    </rPh>
    <phoneticPr fontId="1"/>
  </si>
  <si>
    <t>kg</t>
    <phoneticPr fontId="1"/>
  </si>
  <si>
    <t>％</t>
    <phoneticPr fontId="1"/>
  </si>
  <si>
    <r>
      <t>CO</t>
    </r>
    <r>
      <rPr>
        <b/>
        <vertAlign val="subscript"/>
        <sz val="14"/>
        <color theme="1"/>
        <rFont val="Meiryo UI"/>
        <family val="3"/>
        <charset val="128"/>
      </rPr>
      <t>2</t>
    </r>
    <r>
      <rPr>
        <b/>
        <sz val="14"/>
        <color theme="1"/>
        <rFont val="Meiryo UI"/>
        <family val="3"/>
        <charset val="128"/>
      </rPr>
      <t>削減率</t>
    </r>
    <rPh sb="3" eb="5">
      <t>サクゲン</t>
    </rPh>
    <rPh sb="5" eb="6">
      <t>リツ</t>
    </rPh>
    <phoneticPr fontId="1"/>
  </si>
  <si>
    <t>更新前</t>
    <rPh sb="0" eb="3">
      <t>コウシンマエ</t>
    </rPh>
    <phoneticPr fontId="1"/>
  </si>
  <si>
    <t>（プルダウン）</t>
    <phoneticPr fontId="1"/>
  </si>
  <si>
    <t>（入力）</t>
    <rPh sb="1" eb="3">
      <t>ニュウリョク</t>
    </rPh>
    <phoneticPr fontId="1"/>
  </si>
  <si>
    <t>②メーカー</t>
    <phoneticPr fontId="1"/>
  </si>
  <si>
    <t>③型式</t>
    <rPh sb="1" eb="3">
      <t>カタシキ</t>
    </rPh>
    <phoneticPr fontId="1"/>
  </si>
  <si>
    <t>〈注意事項〉</t>
    <rPh sb="1" eb="3">
      <t>チュウイ</t>
    </rPh>
    <rPh sb="3" eb="5">
      <t>ジコウ</t>
    </rPh>
    <phoneticPr fontId="1"/>
  </si>
  <si>
    <t>年間燃料消費量</t>
    <rPh sb="0" eb="2">
      <t>ネンカン</t>
    </rPh>
    <rPh sb="2" eb="4">
      <t>ネンリョウ</t>
    </rPh>
    <rPh sb="4" eb="7">
      <t>ショウヒリョウ</t>
    </rPh>
    <phoneticPr fontId="1"/>
  </si>
  <si>
    <r>
      <t>年間CO</t>
    </r>
    <r>
      <rPr>
        <vertAlign val="subscript"/>
        <sz val="14"/>
        <color theme="1"/>
        <rFont val="Meiryo UI"/>
        <family val="3"/>
        <charset val="128"/>
      </rPr>
      <t>2</t>
    </r>
    <r>
      <rPr>
        <sz val="14"/>
        <color theme="1"/>
        <rFont val="Meiryo UI"/>
        <family val="3"/>
        <charset val="128"/>
      </rPr>
      <t>排出量</t>
    </r>
    <rPh sb="0" eb="2">
      <t>ネンカン</t>
    </rPh>
    <rPh sb="5" eb="8">
      <t>ハイシュツリョウ</t>
    </rPh>
    <phoneticPr fontId="1"/>
  </si>
  <si>
    <t>（自動）</t>
    <rPh sb="1" eb="3">
      <t>ジドウ</t>
    </rPh>
    <phoneticPr fontId="1"/>
  </si>
  <si>
    <t>給湯機の種類</t>
    <rPh sb="0" eb="3">
      <t>キュウトウキ</t>
    </rPh>
    <rPh sb="4" eb="6">
      <t>シュルイ</t>
    </rPh>
    <phoneticPr fontId="1"/>
  </si>
  <si>
    <t>更新前</t>
    <rPh sb="0" eb="3">
      <t>コウシンマエ</t>
    </rPh>
    <phoneticPr fontId="1"/>
  </si>
  <si>
    <t>電気温水器</t>
    <rPh sb="0" eb="5">
      <t>デンキオンスイキ</t>
    </rPh>
    <phoneticPr fontId="1"/>
  </si>
  <si>
    <t>エコキュート</t>
    <phoneticPr fontId="1"/>
  </si>
  <si>
    <t>給湯</t>
    <rPh sb="0" eb="2">
      <t>キュウトウ</t>
    </rPh>
    <phoneticPr fontId="1"/>
  </si>
  <si>
    <t>中間期</t>
    <rPh sb="0" eb="3">
      <t>チュウカンキ</t>
    </rPh>
    <phoneticPr fontId="1"/>
  </si>
  <si>
    <t>夏期</t>
    <rPh sb="0" eb="2">
      <t>カキ</t>
    </rPh>
    <phoneticPr fontId="1"/>
  </si>
  <si>
    <t>冬期</t>
    <rPh sb="0" eb="2">
      <t>トウキ</t>
    </rPh>
    <phoneticPr fontId="1"/>
  </si>
  <si>
    <t>保温</t>
    <rPh sb="0" eb="2">
      <t>ホオン</t>
    </rPh>
    <phoneticPr fontId="1"/>
  </si>
  <si>
    <t>4～5人</t>
    <phoneticPr fontId="1"/>
  </si>
  <si>
    <r>
      <t>CO</t>
    </r>
    <r>
      <rPr>
        <sz val="9"/>
        <color theme="1"/>
        <rFont val="Meiryo UI"/>
        <family val="3"/>
        <charset val="128"/>
      </rPr>
      <t>2</t>
    </r>
    <r>
      <rPr>
        <sz val="14"/>
        <color theme="1"/>
        <rFont val="Meiryo UI"/>
        <family val="3"/>
        <charset val="128"/>
      </rPr>
      <t>削減率</t>
    </r>
    <rPh sb="3" eb="5">
      <t>サクゲン</t>
    </rPh>
    <rPh sb="5" eb="6">
      <t>リツ</t>
    </rPh>
    <phoneticPr fontId="1"/>
  </si>
  <si>
    <t>都市ガス</t>
    <rPh sb="0" eb="2">
      <t>トシ</t>
    </rPh>
    <phoneticPr fontId="6"/>
  </si>
  <si>
    <t>灯油給湯器</t>
    <rPh sb="0" eb="2">
      <t>トウユ</t>
    </rPh>
    <rPh sb="2" eb="5">
      <t>キュウトウキ</t>
    </rPh>
    <phoneticPr fontId="1"/>
  </si>
  <si>
    <t>ガス給湯器(ＬＰガス)</t>
    <rPh sb="2" eb="5">
      <t>キュウトウキ</t>
    </rPh>
    <phoneticPr fontId="1"/>
  </si>
  <si>
    <t>ガス給湯器(都市ガス)</t>
    <rPh sb="2" eb="5">
      <t>キュウトウキ</t>
    </rPh>
    <rPh sb="6" eb="8">
      <t>トシ</t>
    </rPh>
    <phoneticPr fontId="1"/>
  </si>
  <si>
    <t>機器給湯効率</t>
    <rPh sb="0" eb="2">
      <t>キキ</t>
    </rPh>
    <rPh sb="2" eb="4">
      <t>キュウトウ</t>
    </rPh>
    <rPh sb="4" eb="6">
      <t>コウリツ</t>
    </rPh>
    <phoneticPr fontId="1"/>
  </si>
  <si>
    <t>燃料使用量　※１</t>
    <rPh sb="0" eb="2">
      <t>ネンリョウ</t>
    </rPh>
    <rPh sb="2" eb="5">
      <t>シヨウリョウ</t>
    </rPh>
    <phoneticPr fontId="6"/>
  </si>
  <si>
    <t>CO2排出係数</t>
    <rPh sb="3" eb="5">
      <t>ハイシュツ</t>
    </rPh>
    <rPh sb="5" eb="7">
      <t>ケイスウ</t>
    </rPh>
    <phoneticPr fontId="6"/>
  </si>
  <si>
    <t>A</t>
    <phoneticPr fontId="6"/>
  </si>
  <si>
    <t>B</t>
    <phoneticPr fontId="6"/>
  </si>
  <si>
    <t>C</t>
    <phoneticPr fontId="6"/>
  </si>
  <si>
    <t>D</t>
    <phoneticPr fontId="6"/>
  </si>
  <si>
    <t>E</t>
    <phoneticPr fontId="6"/>
  </si>
  <si>
    <t>F</t>
    <phoneticPr fontId="6"/>
  </si>
  <si>
    <t>B÷機器効率÷発熱量</t>
    <phoneticPr fontId="1"/>
  </si>
  <si>
    <t>Ｃ×CO₂排出係数</t>
    <rPh sb="5" eb="7">
      <t>ハイシュツ</t>
    </rPh>
    <rPh sb="7" eb="9">
      <t>ケイスウ</t>
    </rPh>
    <phoneticPr fontId="1"/>
  </si>
  <si>
    <t>CO2排出量　※２</t>
    <rPh sb="3" eb="5">
      <t>ハイシュツ</t>
    </rPh>
    <rPh sb="5" eb="6">
      <t>リョウ</t>
    </rPh>
    <phoneticPr fontId="6"/>
  </si>
  <si>
    <t>計算式</t>
    <rPh sb="0" eb="3">
      <t>ケイサンシキ</t>
    </rPh>
    <phoneticPr fontId="1"/>
  </si>
  <si>
    <t>給湯負荷採用値×A</t>
    <rPh sb="0" eb="2">
      <t>キュウトウ</t>
    </rPh>
    <rPh sb="2" eb="4">
      <t>フカ</t>
    </rPh>
    <rPh sb="4" eb="6">
      <t>サイヨウ</t>
    </rPh>
    <rPh sb="6" eb="7">
      <t>チ</t>
    </rPh>
    <phoneticPr fontId="1"/>
  </si>
  <si>
    <t>更新後</t>
    <phoneticPr fontId="1"/>
  </si>
  <si>
    <t>kg-CO3/kWh</t>
    <phoneticPr fontId="1"/>
  </si>
  <si>
    <t>発熱量</t>
    <rPh sb="0" eb="2">
      <t>ハツネツ</t>
    </rPh>
    <rPh sb="2" eb="3">
      <t>リョウ</t>
    </rPh>
    <phoneticPr fontId="6"/>
  </si>
  <si>
    <t>※プロパン、都市ガスは高位発熱量</t>
    <rPh sb="6" eb="8">
      <t>トシ</t>
    </rPh>
    <rPh sb="11" eb="13">
      <t>コウイ</t>
    </rPh>
    <rPh sb="13" eb="15">
      <t>ハツネツ</t>
    </rPh>
    <rPh sb="15" eb="16">
      <t>リョウ</t>
    </rPh>
    <phoneticPr fontId="1"/>
  </si>
  <si>
    <t>給湯負荷　JISc9220:2018</t>
    <rPh sb="0" eb="2">
      <t>キュウトウ</t>
    </rPh>
    <rPh sb="2" eb="4">
      <t>フカ</t>
    </rPh>
    <phoneticPr fontId="6"/>
  </si>
  <si>
    <t>合計</t>
    <rPh sb="0" eb="2">
      <t>ゴウケイ</t>
    </rPh>
    <phoneticPr fontId="1"/>
  </si>
  <si>
    <t>LPガス</t>
    <phoneticPr fontId="6"/>
  </si>
  <si>
    <t>参考様式２</t>
    <rPh sb="0" eb="2">
      <t>サンコウ</t>
    </rPh>
    <rPh sb="2" eb="4">
      <t>ヨウシキ</t>
    </rPh>
    <phoneticPr fontId="1"/>
  </si>
  <si>
    <t>新規の場合</t>
    <rPh sb="0" eb="2">
      <t>シンキ</t>
    </rPh>
    <rPh sb="3" eb="5">
      <t>バアイ</t>
    </rPh>
    <phoneticPr fontId="1"/>
  </si>
  <si>
    <t>給湯負荷÷機器効率÷発熱量</t>
    <rPh sb="0" eb="2">
      <t>キュウトウ</t>
    </rPh>
    <rPh sb="2" eb="4">
      <t>フカ</t>
    </rPh>
    <rPh sb="5" eb="7">
      <t>キキ</t>
    </rPh>
    <rPh sb="7" eb="9">
      <t>コウリツ</t>
    </rPh>
    <rPh sb="10" eb="12">
      <t>ハツネツ</t>
    </rPh>
    <rPh sb="12" eb="13">
      <t>リョウ</t>
    </rPh>
    <phoneticPr fontId="1"/>
  </si>
  <si>
    <t>単位</t>
    <rPh sb="0" eb="2">
      <t>タンイ</t>
    </rPh>
    <phoneticPr fontId="1"/>
  </si>
  <si>
    <t>新規ケース</t>
    <rPh sb="0" eb="2">
      <t>シンキ</t>
    </rPh>
    <phoneticPr fontId="1"/>
  </si>
  <si>
    <t>計算式</t>
    <rPh sb="0" eb="3">
      <t>ケイサンシキ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</si>
  <si>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</si>
  <si>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</si>
  <si>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C1</t>
    <phoneticPr fontId="1"/>
  </si>
  <si>
    <t>C2</t>
    <phoneticPr fontId="1"/>
  </si>
  <si>
    <t>燃料使用量（都市ガス,2-3人）</t>
    <rPh sb="0" eb="2">
      <t>ネンリョウ</t>
    </rPh>
    <rPh sb="2" eb="5">
      <t>シヨウリョウ</t>
    </rPh>
    <rPh sb="6" eb="8">
      <t>トシ</t>
    </rPh>
    <rPh sb="14" eb="15">
      <t>ニン</t>
    </rPh>
    <phoneticPr fontId="1"/>
  </si>
  <si>
    <t>燃料使用量（都市ガス,4-5人）</t>
    <rPh sb="0" eb="2">
      <t>ネンリョウ</t>
    </rPh>
    <rPh sb="2" eb="5">
      <t>シヨウリョウ</t>
    </rPh>
    <rPh sb="6" eb="8">
      <t>トシ</t>
    </rPh>
    <rPh sb="14" eb="15">
      <t>ニン</t>
    </rPh>
    <phoneticPr fontId="1"/>
  </si>
  <si>
    <t>D1</t>
    <phoneticPr fontId="1"/>
  </si>
  <si>
    <t>㎥</t>
  </si>
  <si>
    <t>CO2排出量（都市ガス,2-3人）</t>
    <rPh sb="7" eb="9">
      <t>トシ</t>
    </rPh>
    <rPh sb="15" eb="16">
      <t>ニン</t>
    </rPh>
    <phoneticPr fontId="1"/>
  </si>
  <si>
    <t>Ｃ1×CO₂排出係数</t>
    <rPh sb="6" eb="8">
      <t>ハイシュツ</t>
    </rPh>
    <rPh sb="8" eb="10">
      <t>ケイスウ</t>
    </rPh>
    <phoneticPr fontId="1"/>
  </si>
  <si>
    <t>D2</t>
    <phoneticPr fontId="1"/>
  </si>
  <si>
    <t>CO2排出量（都市ガス,4-5人）</t>
    <rPh sb="7" eb="9">
      <t>トシ</t>
    </rPh>
    <rPh sb="15" eb="16">
      <t>ニン</t>
    </rPh>
    <phoneticPr fontId="1"/>
  </si>
  <si>
    <t>合計</t>
    <rPh sb="0" eb="2">
      <t>ゴウケイ</t>
    </rPh>
    <phoneticPr fontId="1"/>
  </si>
  <si>
    <t>⓸給湯器効率</t>
    <rPh sb="1" eb="4">
      <t>キュウトウキ</t>
    </rPh>
    <rPh sb="4" eb="6">
      <t>コウリツ</t>
    </rPh>
    <phoneticPr fontId="1"/>
  </si>
  <si>
    <t>（自動）</t>
    <rPh sb="1" eb="3">
      <t>ジドウ</t>
    </rPh>
    <phoneticPr fontId="1"/>
  </si>
  <si>
    <t>㎥</t>
    <phoneticPr fontId="1"/>
  </si>
  <si>
    <t>※</t>
    <phoneticPr fontId="1"/>
  </si>
  <si>
    <t>（１）現在の使用状況に最も近いものを選択してください</t>
    <rPh sb="3" eb="5">
      <t>ゲンザイ</t>
    </rPh>
    <rPh sb="6" eb="10">
      <t>シヨウジョウキョウ</t>
    </rPh>
    <rPh sb="11" eb="12">
      <t>モット</t>
    </rPh>
    <rPh sb="13" eb="14">
      <t>チカ</t>
    </rPh>
    <rPh sb="18" eb="20">
      <t>センタク</t>
    </rPh>
    <phoneticPr fontId="1"/>
  </si>
  <si>
    <t>（２）買替か、新規か、どちらか選んで、シートの網掛け部分に入力して下さい。</t>
    <rPh sb="3" eb="5">
      <t>カイカエ</t>
    </rPh>
    <rPh sb="7" eb="9">
      <t>シンキ</t>
    </rPh>
    <rPh sb="15" eb="16">
      <t>エラ</t>
    </rPh>
    <rPh sb="23" eb="25">
      <t>アミカ</t>
    </rPh>
    <rPh sb="26" eb="28">
      <t>ブブン</t>
    </rPh>
    <rPh sb="29" eb="31">
      <t>ニュウリョク</t>
    </rPh>
    <rPh sb="33" eb="34">
      <t>クダ</t>
    </rPh>
    <phoneticPr fontId="1"/>
  </si>
  <si>
    <t>（入力不要）</t>
    <rPh sb="1" eb="3">
      <t>ニュウリョク</t>
    </rPh>
    <rPh sb="3" eb="5">
      <t>フヨウ</t>
    </rPh>
    <phoneticPr fontId="1"/>
  </si>
  <si>
    <t>新規購入設備</t>
    <rPh sb="0" eb="2">
      <t>シンキ</t>
    </rPh>
    <rPh sb="2" eb="4">
      <t>コウニュウ</t>
    </rPh>
    <rPh sb="4" eb="6">
      <t>セツビ</t>
    </rPh>
    <phoneticPr fontId="1"/>
  </si>
  <si>
    <t>買替or新規</t>
    <rPh sb="0" eb="2">
      <t>カイカエ</t>
    </rPh>
    <rPh sb="4" eb="6">
      <t>シンキ</t>
    </rPh>
    <phoneticPr fontId="1"/>
  </si>
  <si>
    <t>買替の場合　　</t>
    <rPh sb="0" eb="2">
      <t>カイカエ</t>
    </rPh>
    <rPh sb="3" eb="5">
      <t>バアイ</t>
    </rPh>
    <phoneticPr fontId="1"/>
  </si>
  <si>
    <t>①給湯器の種類</t>
    <rPh sb="1" eb="4">
      <t>キュウトウキ</t>
    </rPh>
    <rPh sb="5" eb="7">
      <t>シュルイ</t>
    </rPh>
    <phoneticPr fontId="1"/>
  </si>
  <si>
    <t>④給湯器効率</t>
    <rPh sb="1" eb="4">
      <t>キュウトウキ</t>
    </rPh>
    <rPh sb="4" eb="6">
      <t>コウリツ</t>
    </rPh>
    <phoneticPr fontId="1"/>
  </si>
  <si>
    <t>　　　ハイブリッド給湯器に更新される場合は、別途ご相談ください。</t>
    <phoneticPr fontId="1"/>
  </si>
  <si>
    <t>　　　2011年頃以前のエコキュートの給湯効率の規格(APF又はJRA)が古いため換算が必要です。</t>
    <rPh sb="7" eb="8">
      <t>ネン</t>
    </rPh>
    <rPh sb="8" eb="9">
      <t>ゴロ</t>
    </rPh>
    <rPh sb="9" eb="11">
      <t>イゼン</t>
    </rPh>
    <rPh sb="19" eb="21">
      <t>キュウトウ</t>
    </rPh>
    <rPh sb="21" eb="23">
      <t>コウリツ</t>
    </rPh>
    <rPh sb="24" eb="26">
      <t>キカク</t>
    </rPh>
    <rPh sb="30" eb="31">
      <t>マタ</t>
    </rPh>
    <rPh sb="37" eb="38">
      <t>フル</t>
    </rPh>
    <rPh sb="41" eb="43">
      <t>カンザン</t>
    </rPh>
    <rPh sb="44" eb="46">
      <t>ヒツヨウ</t>
    </rPh>
    <phoneticPr fontId="1"/>
  </si>
  <si>
    <t>エコキュート(APF又はJRA,追焚あり)</t>
    <rPh sb="10" eb="11">
      <t>マタ</t>
    </rPh>
    <rPh sb="16" eb="17">
      <t>ツイ</t>
    </rPh>
    <rPh sb="17" eb="18">
      <t>フン</t>
    </rPh>
    <phoneticPr fontId="1"/>
  </si>
  <si>
    <t>エコキュート
(APF又はJRA,追焚なし又は給湯単機能)</t>
    <rPh sb="11" eb="12">
      <t>マタ</t>
    </rPh>
    <rPh sb="17" eb="18">
      <t>オ</t>
    </rPh>
    <rPh sb="18" eb="19">
      <t>タ</t>
    </rPh>
    <rPh sb="21" eb="22">
      <t>マタ</t>
    </rPh>
    <rPh sb="23" eb="25">
      <t>キュウトウ</t>
    </rPh>
    <rPh sb="25" eb="28">
      <t>タンキノウ</t>
    </rPh>
    <phoneticPr fontId="1"/>
  </si>
  <si>
    <t>更新前(APF用)</t>
    <rPh sb="0" eb="2">
      <t>コウシン</t>
    </rPh>
    <rPh sb="2" eb="3">
      <t>マエ</t>
    </rPh>
    <rPh sb="7" eb="8">
      <t>ヨウ</t>
    </rPh>
    <phoneticPr fontId="1"/>
  </si>
  <si>
    <r>
      <t>高効率給湯器　省CO</t>
    </r>
    <r>
      <rPr>
        <b/>
        <vertAlign val="subscript"/>
        <sz val="16"/>
        <color theme="1"/>
        <rFont val="Meiryo UI"/>
        <family val="3"/>
        <charset val="128"/>
      </rPr>
      <t>2</t>
    </r>
    <r>
      <rPr>
        <b/>
        <sz val="16"/>
        <color theme="1"/>
        <rFont val="Meiryo UI"/>
        <family val="3"/>
        <charset val="128"/>
      </rPr>
      <t>効果計算シート</t>
    </r>
    <rPh sb="0" eb="3">
      <t>コウコウリツ</t>
    </rPh>
    <rPh sb="3" eb="6">
      <t>キュウトウキ</t>
    </rPh>
    <rPh sb="7" eb="8">
      <t>ショウ</t>
    </rPh>
    <rPh sb="11" eb="13">
      <t>コウカ</t>
    </rPh>
    <rPh sb="13" eb="15">
      <t>ケイサン</t>
    </rPh>
    <phoneticPr fontId="1"/>
  </si>
  <si>
    <t>　　　エコキュートはカタログから「年間給湯保温効率(JIS)」または「年間給湯効率(JIS)」を入力ください。</t>
    <phoneticPr fontId="1"/>
  </si>
  <si>
    <t>※　カタログ等で給湯機効率を確認して入力していただき、不明な場合はメーカーへご確認ください。（例）0.85</t>
    <rPh sb="6" eb="7">
      <t>ナド</t>
    </rPh>
    <rPh sb="8" eb="10">
      <t>キュウトウ</t>
    </rPh>
    <rPh sb="10" eb="11">
      <t>キ</t>
    </rPh>
    <rPh sb="11" eb="13">
      <t>コウリツ</t>
    </rPh>
    <rPh sb="27" eb="29">
      <t>フメイ</t>
    </rPh>
    <rPh sb="30" eb="32">
      <t>バアイ</t>
    </rPh>
    <rPh sb="39" eb="41">
      <t>カクニン</t>
    </rPh>
    <rPh sb="47" eb="48">
      <t>レイ</t>
    </rPh>
    <phoneticPr fontId="1"/>
  </si>
  <si>
    <t xml:space="preserve">  　　もし、カタログ等でAPF又はJRAの給湯効率が記載されている場合は、①給湯器の種類で、「エコキュート(APF又はJRA,追焚あり)」もしくは「エコキュート(APF又はJRA,追焚なし又は給湯単機能)」のどちらか適切な方を選択してください。</t>
    <rPh sb="11" eb="12">
      <t>トウ</t>
    </rPh>
    <rPh sb="16" eb="17">
      <t>マタ</t>
    </rPh>
    <rPh sb="22" eb="24">
      <t>キュウトウ</t>
    </rPh>
    <rPh sb="24" eb="26">
      <t>コウリツ</t>
    </rPh>
    <rPh sb="27" eb="29">
      <t>キサイ</t>
    </rPh>
    <rPh sb="34" eb="36">
      <t>バアイ</t>
    </rPh>
    <rPh sb="39" eb="42">
      <t>キュウトウキ</t>
    </rPh>
    <rPh sb="43" eb="45">
      <t>シュルイ</t>
    </rPh>
    <rPh sb="109" eb="111">
      <t>テキセツ</t>
    </rPh>
    <rPh sb="112" eb="113">
      <t>ホウ</t>
    </rPh>
    <rPh sb="114" eb="116">
      <t>センタク</t>
    </rPh>
    <phoneticPr fontId="1"/>
  </si>
  <si>
    <t>kg</t>
    <phoneticPr fontId="1"/>
  </si>
  <si>
    <t>エコキュート</t>
    <phoneticPr fontId="1"/>
  </si>
  <si>
    <t>新規用（２～３人用）</t>
    <rPh sb="0" eb="2">
      <t>シンキ</t>
    </rPh>
    <rPh sb="2" eb="3">
      <t>ヨウ</t>
    </rPh>
    <rPh sb="7" eb="9">
      <t>ニンヨウ</t>
    </rPh>
    <phoneticPr fontId="1"/>
  </si>
  <si>
    <t>新規用（４～５人用）</t>
    <rPh sb="0" eb="2">
      <t>シンキ</t>
    </rPh>
    <rPh sb="2" eb="3">
      <t>ヨウ</t>
    </rPh>
    <rPh sb="7" eb="9">
      <t>ニンヨウ</t>
    </rPh>
    <phoneticPr fontId="1"/>
  </si>
  <si>
    <t>kWh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</si>
</sst>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_ "/>
    <numFmt numFmtId="177" formatCode="0.0000_ "/>
    <numFmt numFmtId="178" formatCode="0.000_ "/>
    <numFmt numFmtId="179" formatCode="0.0_ "/>
    <numFmt numFmtId="180" formatCode="#,##0_ ;[Red]\-#,##0\ "/>
    <numFmt numFmtId="181" formatCode="#,##0.0_ ;[Red]\-#,##0.0\ "/>
    <numFmt numFmtId="182" formatCode="0.0_);[Red]\(0.0\)"/>
  </numFmts>
  <fonts count="2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vertAlign val="subscript"/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vertAlign val="subscript"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vertAlign val="superscript"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vertAlign val="subscript"/>
      <sz val="16"/>
      <color theme="1"/>
      <name val="Meiryo UI"/>
      <family val="3"/>
      <charset val="128"/>
    </font>
    <font>
      <sz val="9"/>
      <color rgb="FF0070C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b/>
      <sz val="16"/>
      <color rgb="FFFF0000"/>
      <name val="Meiryo UI"/>
      <family val="3"/>
      <charset val="128"/>
    </font>
    <font>
      <b/>
      <sz val="16"/>
      <color rgb="FF0070C0"/>
      <name val="Meiryo UI"/>
      <family val="3"/>
      <charset val="128"/>
    </font>
    <font>
      <b/>
      <sz val="18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D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double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 shrinkToFit="1"/>
    </xf>
    <xf numFmtId="0" fontId="8" fillId="0" borderId="0" xfId="2" applyFont="1">
      <alignment vertical="center"/>
    </xf>
    <xf numFmtId="0" fontId="7" fillId="0" borderId="0" xfId="2" applyFont="1" applyAlignment="1">
      <alignment vertical="center" shrinkToFit="1"/>
    </xf>
    <xf numFmtId="0" fontId="7" fillId="2" borderId="0" xfId="2" applyFont="1" applyFill="1">
      <alignment vertical="center"/>
    </xf>
    <xf numFmtId="0" fontId="7" fillId="0" borderId="2" xfId="2" applyFont="1" applyBorder="1" applyAlignment="1">
      <alignment horizontal="left" vertical="center"/>
    </xf>
    <xf numFmtId="0" fontId="7" fillId="2" borderId="7" xfId="2" applyFont="1" applyFill="1" applyBorder="1">
      <alignment vertical="center"/>
    </xf>
    <xf numFmtId="0" fontId="7" fillId="2" borderId="2" xfId="2" applyFont="1" applyFill="1" applyBorder="1">
      <alignment vertical="center"/>
    </xf>
    <xf numFmtId="0" fontId="7" fillId="2" borderId="9" xfId="2" applyFont="1" applyFill="1" applyBorder="1">
      <alignment vertical="center"/>
    </xf>
    <xf numFmtId="177" fontId="7" fillId="2" borderId="7" xfId="2" applyNumberFormat="1" applyFont="1" applyFill="1" applyBorder="1">
      <alignment vertical="center"/>
    </xf>
    <xf numFmtId="0" fontId="7" fillId="2" borderId="12" xfId="2" applyFont="1" applyFill="1" applyBorder="1">
      <alignment vertical="center"/>
    </xf>
    <xf numFmtId="0" fontId="9" fillId="2" borderId="14" xfId="2" applyFont="1" applyFill="1" applyBorder="1" applyAlignment="1">
      <alignment vertical="center" shrinkToFit="1"/>
    </xf>
    <xf numFmtId="0" fontId="7" fillId="2" borderId="14" xfId="2" applyFont="1" applyFill="1" applyBorder="1" applyAlignment="1">
      <alignment vertical="center" shrinkToFit="1"/>
    </xf>
    <xf numFmtId="0" fontId="7" fillId="2" borderId="16" xfId="2" applyFont="1" applyFill="1" applyBorder="1">
      <alignment vertical="center"/>
    </xf>
    <xf numFmtId="0" fontId="9" fillId="2" borderId="18" xfId="2" applyFont="1" applyFill="1" applyBorder="1" applyAlignment="1">
      <alignment vertical="center" shrinkToFit="1"/>
    </xf>
    <xf numFmtId="0" fontId="7" fillId="2" borderId="18" xfId="2" applyFont="1" applyFill="1" applyBorder="1" applyAlignment="1">
      <alignment vertical="center" shrinkToFit="1"/>
    </xf>
    <xf numFmtId="177" fontId="7" fillId="2" borderId="0" xfId="2" applyNumberFormat="1" applyFont="1" applyFill="1">
      <alignment vertical="center"/>
    </xf>
    <xf numFmtId="0" fontId="9" fillId="2" borderId="0" xfId="2" applyFont="1" applyFill="1" applyAlignment="1">
      <alignment vertical="center" shrinkToFit="1"/>
    </xf>
    <xf numFmtId="178" fontId="9" fillId="2" borderId="0" xfId="2" applyNumberFormat="1" applyFont="1" applyFill="1">
      <alignment vertical="center"/>
    </xf>
    <xf numFmtId="0" fontId="12" fillId="0" borderId="0" xfId="2" applyFont="1">
      <alignment vertical="center"/>
    </xf>
    <xf numFmtId="0" fontId="7" fillId="0" borderId="0" xfId="2" applyFont="1" applyAlignment="1">
      <alignment vertical="top"/>
    </xf>
    <xf numFmtId="0" fontId="7" fillId="0" borderId="5" xfId="2" applyFont="1" applyBorder="1" applyAlignment="1">
      <alignment horizontal="center" vertical="center"/>
    </xf>
    <xf numFmtId="0" fontId="7" fillId="0" borderId="20" xfId="2" applyFont="1" applyBorder="1">
      <alignment vertical="center"/>
    </xf>
    <xf numFmtId="0" fontId="7" fillId="0" borderId="4" xfId="2" applyFont="1" applyBorder="1">
      <alignment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20" xfId="2" applyFont="1" applyBorder="1" applyAlignment="1">
      <alignment horizontal="left" vertical="center" shrinkToFit="1"/>
    </xf>
    <xf numFmtId="0" fontId="7" fillId="0" borderId="4" xfId="2" applyFont="1" applyBorder="1" applyAlignment="1">
      <alignment vertical="center" shrinkToFit="1"/>
    </xf>
    <xf numFmtId="0" fontId="7" fillId="0" borderId="24" xfId="2" applyFont="1" applyBorder="1" applyAlignment="1">
      <alignment horizontal="center" vertical="center"/>
    </xf>
    <xf numFmtId="0" fontId="7" fillId="0" borderId="20" xfId="3" applyNumberFormat="1" applyFont="1" applyBorder="1">
      <alignment vertical="center"/>
    </xf>
    <xf numFmtId="0" fontId="7" fillId="0" borderId="21" xfId="3" applyNumberFormat="1" applyFont="1" applyBorder="1" applyAlignment="1">
      <alignment vertical="center"/>
    </xf>
    <xf numFmtId="0" fontId="7" fillId="0" borderId="25" xfId="3" applyNumberFormat="1" applyFont="1" applyBorder="1" applyAlignment="1">
      <alignment vertical="center"/>
    </xf>
    <xf numFmtId="0" fontId="7" fillId="0" borderId="23" xfId="3" applyNumberFormat="1" applyFont="1" applyBorder="1">
      <alignment vertical="center"/>
    </xf>
    <xf numFmtId="0" fontId="7" fillId="0" borderId="5" xfId="2" applyFont="1" applyBorder="1" applyAlignment="1">
      <alignment horizontal="left" vertical="center" shrinkToFit="1"/>
    </xf>
    <xf numFmtId="38" fontId="7" fillId="0" borderId="23" xfId="3" applyFont="1" applyFill="1" applyBorder="1">
      <alignment vertical="center"/>
    </xf>
    <xf numFmtId="0" fontId="7" fillId="0" borderId="0" xfId="2" applyFont="1" applyAlignment="1">
      <alignment horizontal="left" vertical="center" shrinkToFit="1"/>
    </xf>
    <xf numFmtId="180" fontId="7" fillId="0" borderId="0" xfId="3" applyNumberFormat="1" applyFont="1" applyFill="1" applyBorder="1">
      <alignment vertical="center"/>
    </xf>
    <xf numFmtId="38" fontId="7" fillId="0" borderId="0" xfId="3" applyFont="1" applyFill="1" applyBorder="1">
      <alignment vertical="center"/>
    </xf>
    <xf numFmtId="0" fontId="7" fillId="0" borderId="11" xfId="2" applyFont="1" applyBorder="1" applyAlignment="1">
      <alignment horizontal="center" vertical="center"/>
    </xf>
    <xf numFmtId="0" fontId="7" fillId="0" borderId="11" xfId="2" applyFont="1" applyBorder="1" applyAlignment="1">
      <alignment horizontal="left" vertical="center" shrinkToFit="1"/>
    </xf>
    <xf numFmtId="0" fontId="7" fillId="0" borderId="21" xfId="2" applyFont="1" applyBorder="1" applyAlignment="1">
      <alignment horizontal="left" vertical="center" shrinkToFit="1"/>
    </xf>
    <xf numFmtId="0" fontId="7" fillId="0" borderId="25" xfId="2" applyFont="1" applyBorder="1">
      <alignment vertical="center"/>
    </xf>
    <xf numFmtId="0" fontId="7" fillId="0" borderId="8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30" xfId="2" applyFont="1" applyBorder="1" applyAlignment="1">
      <alignment horizontal="left" vertical="center" shrinkToFit="1"/>
    </xf>
    <xf numFmtId="0" fontId="7" fillId="0" borderId="31" xfId="2" applyFont="1" applyBorder="1" applyAlignment="1">
      <alignment vertical="center" shrinkToFit="1"/>
    </xf>
    <xf numFmtId="0" fontId="7" fillId="0" borderId="32" xfId="2" applyFont="1" applyBorder="1" applyAlignment="1">
      <alignment horizontal="center" vertical="center"/>
    </xf>
    <xf numFmtId="0" fontId="7" fillId="3" borderId="34" xfId="2" applyFont="1" applyFill="1" applyBorder="1" applyAlignment="1">
      <alignment horizontal="center" vertical="center"/>
    </xf>
    <xf numFmtId="0" fontId="7" fillId="3" borderId="35" xfId="2" applyFont="1" applyFill="1" applyBorder="1" applyAlignment="1">
      <alignment horizontal="left" vertical="center" shrinkToFit="1"/>
    </xf>
    <xf numFmtId="0" fontId="7" fillId="3" borderId="36" xfId="2" applyFont="1" applyFill="1" applyBorder="1">
      <alignment vertical="center"/>
    </xf>
    <xf numFmtId="0" fontId="7" fillId="3" borderId="37" xfId="2" applyFont="1" applyFill="1" applyBorder="1" applyAlignment="1">
      <alignment horizontal="center" vertical="center"/>
    </xf>
    <xf numFmtId="0" fontId="7" fillId="0" borderId="0" xfId="2" applyFont="1" applyBorder="1">
      <alignment vertical="center"/>
    </xf>
    <xf numFmtId="0" fontId="11" fillId="2" borderId="8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0" fontId="9" fillId="2" borderId="40" xfId="2" applyFont="1" applyFill="1" applyBorder="1" applyAlignment="1">
      <alignment horizontal="center" vertical="center" shrinkToFit="1"/>
    </xf>
    <xf numFmtId="0" fontId="9" fillId="2" borderId="41" xfId="2" applyFont="1" applyFill="1" applyBorder="1" applyAlignment="1">
      <alignment horizontal="center" vertical="center" shrinkToFit="1"/>
    </xf>
    <xf numFmtId="0" fontId="9" fillId="2" borderId="37" xfId="2" applyFont="1" applyFill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38" fontId="13" fillId="0" borderId="5" xfId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7" fillId="2" borderId="6" xfId="2" applyFont="1" applyFill="1" applyBorder="1">
      <alignment vertical="center"/>
    </xf>
    <xf numFmtId="0" fontId="7" fillId="2" borderId="10" xfId="2" applyFont="1" applyFill="1" applyBorder="1">
      <alignment vertical="center"/>
    </xf>
    <xf numFmtId="0" fontId="7" fillId="2" borderId="14" xfId="2" applyFont="1" applyFill="1" applyBorder="1">
      <alignment vertical="center"/>
    </xf>
    <xf numFmtId="0" fontId="7" fillId="2" borderId="18" xfId="2" applyFont="1" applyFill="1" applyBorder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 shrinkToFit="1"/>
    </xf>
    <xf numFmtId="0" fontId="7" fillId="0" borderId="0" xfId="2" applyFont="1" applyBorder="1" applyAlignment="1">
      <alignment vertical="center" shrinkToFit="1"/>
    </xf>
    <xf numFmtId="0" fontId="15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2" xfId="2" applyFont="1" applyBorder="1">
      <alignment vertical="center"/>
    </xf>
    <xf numFmtId="0" fontId="9" fillId="0" borderId="0" xfId="2" applyFont="1" applyBorder="1" applyAlignment="1">
      <alignment vertical="center" shrinkToFit="1"/>
    </xf>
    <xf numFmtId="40" fontId="9" fillId="0" borderId="0" xfId="1" applyNumberFormat="1" applyFont="1" applyBorder="1">
      <alignment vertical="center"/>
    </xf>
    <xf numFmtId="40" fontId="9" fillId="0" borderId="8" xfId="2" applyNumberFormat="1" applyFont="1" applyBorder="1" applyAlignment="1">
      <alignment vertical="center"/>
    </xf>
    <xf numFmtId="40" fontId="9" fillId="0" borderId="8" xfId="1" applyNumberFormat="1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9" fillId="0" borderId="8" xfId="2" applyFont="1" applyBorder="1" applyAlignment="1">
      <alignment horizontal="center" vertical="center" shrinkToFit="1"/>
    </xf>
    <xf numFmtId="0" fontId="7" fillId="0" borderId="8" xfId="2" applyFont="1" applyBorder="1">
      <alignment vertical="center"/>
    </xf>
    <xf numFmtId="0" fontId="21" fillId="0" borderId="8" xfId="2" applyFont="1" applyBorder="1">
      <alignment vertical="center"/>
    </xf>
    <xf numFmtId="0" fontId="7" fillId="2" borderId="43" xfId="2" applyFont="1" applyFill="1" applyBorder="1">
      <alignment vertical="center"/>
    </xf>
    <xf numFmtId="0" fontId="9" fillId="2" borderId="45" xfId="2" applyFont="1" applyFill="1" applyBorder="1" applyAlignment="1">
      <alignment vertical="center" shrinkToFit="1"/>
    </xf>
    <xf numFmtId="0" fontId="7" fillId="2" borderId="45" xfId="2" applyFont="1" applyFill="1" applyBorder="1" applyAlignment="1">
      <alignment vertical="center" shrinkToFit="1"/>
    </xf>
    <xf numFmtId="0" fontId="7" fillId="3" borderId="19" xfId="2" applyFont="1" applyFill="1" applyBorder="1" applyAlignment="1">
      <alignment horizontal="center" vertical="center"/>
    </xf>
    <xf numFmtId="0" fontId="7" fillId="3" borderId="19" xfId="2" applyFont="1" applyFill="1" applyBorder="1" applyAlignment="1">
      <alignment horizontal="left" vertical="center" shrinkToFit="1"/>
    </xf>
    <xf numFmtId="0" fontId="7" fillId="0" borderId="48" xfId="2" applyFont="1" applyBorder="1" applyAlignment="1">
      <alignment vertical="center" shrinkToFit="1"/>
    </xf>
    <xf numFmtId="178" fontId="9" fillId="2" borderId="49" xfId="2" applyNumberFormat="1" applyFont="1" applyFill="1" applyBorder="1">
      <alignment vertical="center"/>
    </xf>
    <xf numFmtId="0" fontId="9" fillId="2" borderId="50" xfId="2" applyFont="1" applyFill="1" applyBorder="1" applyAlignment="1">
      <alignment vertical="center" shrinkToFit="1"/>
    </xf>
    <xf numFmtId="178" fontId="9" fillId="2" borderId="28" xfId="2" applyNumberFormat="1" applyFont="1" applyFill="1" applyBorder="1">
      <alignment vertical="center"/>
    </xf>
    <xf numFmtId="0" fontId="9" fillId="2" borderId="27" xfId="2" applyFont="1" applyFill="1" applyBorder="1" applyAlignment="1">
      <alignment vertical="center" shrinkToFit="1"/>
    </xf>
    <xf numFmtId="178" fontId="9" fillId="2" borderId="34" xfId="2" applyNumberFormat="1" applyFont="1" applyFill="1" applyBorder="1">
      <alignment vertical="center"/>
    </xf>
    <xf numFmtId="0" fontId="9" fillId="2" borderId="47" xfId="2" applyFont="1" applyFill="1" applyBorder="1" applyAlignment="1">
      <alignment vertical="center" shrinkToFit="1"/>
    </xf>
    <xf numFmtId="181" fontId="7" fillId="3" borderId="38" xfId="2" applyNumberFormat="1" applyFont="1" applyFill="1" applyBorder="1">
      <alignment vertical="center"/>
    </xf>
    <xf numFmtId="181" fontId="7" fillId="0" borderId="33" xfId="2" applyNumberFormat="1" applyFont="1" applyBorder="1">
      <alignment vertical="center"/>
    </xf>
    <xf numFmtId="181" fontId="7" fillId="0" borderId="20" xfId="3" applyNumberFormat="1" applyFont="1" applyFill="1" applyBorder="1">
      <alignment vertical="center"/>
    </xf>
    <xf numFmtId="181" fontId="7" fillId="0" borderId="21" xfId="3" applyNumberFormat="1" applyFont="1" applyFill="1" applyBorder="1">
      <alignment vertical="center"/>
    </xf>
    <xf numFmtId="181" fontId="7" fillId="0" borderId="25" xfId="3" applyNumberFormat="1" applyFont="1" applyFill="1" applyBorder="1">
      <alignment vertical="center"/>
    </xf>
    <xf numFmtId="176" fontId="9" fillId="2" borderId="15" xfId="2" applyNumberFormat="1" applyFont="1" applyFill="1" applyBorder="1">
      <alignment vertical="center"/>
    </xf>
    <xf numFmtId="179" fontId="9" fillId="2" borderId="44" xfId="2" applyNumberFormat="1" applyFont="1" applyFill="1" applyBorder="1">
      <alignment vertical="center"/>
    </xf>
    <xf numFmtId="179" fontId="9" fillId="2" borderId="17" xfId="2" applyNumberFormat="1" applyFont="1" applyFill="1" applyBorder="1">
      <alignment vertical="center"/>
    </xf>
    <xf numFmtId="38" fontId="7" fillId="0" borderId="42" xfId="3" applyFont="1" applyFill="1" applyBorder="1">
      <alignment vertical="center"/>
    </xf>
    <xf numFmtId="38" fontId="7" fillId="0" borderId="1" xfId="3" applyFont="1" applyFill="1" applyBorder="1">
      <alignment vertical="center"/>
    </xf>
    <xf numFmtId="40" fontId="15" fillId="4" borderId="5" xfId="1" applyNumberFormat="1" applyFont="1" applyFill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7" fillId="0" borderId="8" xfId="2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 shrinkToFit="1"/>
    </xf>
    <xf numFmtId="179" fontId="7" fillId="0" borderId="8" xfId="2" applyNumberFormat="1" applyFont="1" applyBorder="1">
      <alignment vertical="center"/>
    </xf>
    <xf numFmtId="182" fontId="7" fillId="0" borderId="8" xfId="3" applyNumberFormat="1" applyFont="1" applyFill="1" applyBorder="1">
      <alignment vertical="center"/>
    </xf>
    <xf numFmtId="182" fontId="7" fillId="5" borderId="8" xfId="3" applyNumberFormat="1" applyFont="1" applyFill="1" applyBorder="1">
      <alignment vertical="center"/>
    </xf>
    <xf numFmtId="0" fontId="17" fillId="0" borderId="8" xfId="0" applyFont="1" applyBorder="1">
      <alignment vertical="center"/>
    </xf>
    <xf numFmtId="0" fontId="17" fillId="0" borderId="8" xfId="0" applyFont="1" applyFill="1" applyBorder="1" applyAlignment="1">
      <alignment vertical="center" shrinkToFit="1"/>
    </xf>
    <xf numFmtId="178" fontId="17" fillId="8" borderId="8" xfId="0" applyNumberFormat="1" applyFont="1" applyFill="1" applyBorder="1">
      <alignment vertical="center"/>
    </xf>
    <xf numFmtId="0" fontId="18" fillId="0" borderId="8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2" fontId="13" fillId="7" borderId="5" xfId="0" applyNumberFormat="1" applyFont="1" applyFill="1" applyBorder="1" applyAlignment="1" applyProtection="1">
      <alignment horizontal="center" vertical="center"/>
      <protection locked="0"/>
    </xf>
    <xf numFmtId="176" fontId="17" fillId="7" borderId="8" xfId="0" applyNumberFormat="1" applyFont="1" applyFill="1" applyBorder="1" applyProtection="1">
      <alignment vertical="center"/>
      <protection locked="0"/>
    </xf>
    <xf numFmtId="0" fontId="13" fillId="7" borderId="8" xfId="0" applyFont="1" applyFill="1" applyBorder="1" applyAlignment="1" applyProtection="1">
      <alignment horizontal="center" vertical="center"/>
      <protection locked="0"/>
    </xf>
    <xf numFmtId="0" fontId="13" fillId="6" borderId="8" xfId="0" applyFont="1" applyFill="1" applyBorder="1">
      <alignment vertical="center"/>
    </xf>
    <xf numFmtId="0" fontId="13" fillId="7" borderId="8" xfId="0" applyFont="1" applyFill="1" applyBorder="1" applyAlignment="1" applyProtection="1">
      <alignment horizontal="center" vertical="center"/>
      <protection locked="0"/>
    </xf>
    <xf numFmtId="0" fontId="7" fillId="0" borderId="8" xfId="2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3" fillId="0" borderId="0" xfId="0" applyFont="1" applyBorder="1">
      <alignment vertical="center"/>
    </xf>
    <xf numFmtId="0" fontId="24" fillId="0" borderId="0" xfId="0" applyFont="1">
      <alignment vertical="center"/>
    </xf>
    <xf numFmtId="0" fontId="23" fillId="0" borderId="1" xfId="0" applyFont="1" applyBorder="1">
      <alignment vertical="center"/>
    </xf>
    <xf numFmtId="40" fontId="9" fillId="0" borderId="2" xfId="2" applyNumberFormat="1" applyFont="1" applyBorder="1" applyAlignment="1">
      <alignment horizontal="center" vertical="center"/>
    </xf>
    <xf numFmtId="40" fontId="10" fillId="0" borderId="2" xfId="2" applyNumberFormat="1" applyFont="1" applyBorder="1">
      <alignment vertical="center"/>
    </xf>
    <xf numFmtId="0" fontId="9" fillId="9" borderId="8" xfId="2" applyFont="1" applyFill="1" applyBorder="1" applyAlignment="1">
      <alignment vertical="center" shrinkToFit="1"/>
    </xf>
    <xf numFmtId="40" fontId="9" fillId="9" borderId="8" xfId="1" applyNumberFormat="1" applyFont="1" applyFill="1" applyBorder="1">
      <alignment vertical="center"/>
    </xf>
    <xf numFmtId="0" fontId="19" fillId="0" borderId="0" xfId="0" applyFont="1">
      <alignment vertical="center"/>
    </xf>
    <xf numFmtId="179" fontId="7" fillId="3" borderId="8" xfId="2" applyNumberFormat="1" applyFont="1" applyFill="1" applyBorder="1">
      <alignment vertical="center"/>
    </xf>
    <xf numFmtId="38" fontId="7" fillId="3" borderId="23" xfId="3" applyFont="1" applyFill="1" applyBorder="1">
      <alignment vertical="center"/>
    </xf>
    <xf numFmtId="176" fontId="9" fillId="9" borderId="13" xfId="2" applyNumberFormat="1" applyFont="1" applyFill="1" applyBorder="1">
      <alignment vertical="center"/>
    </xf>
    <xf numFmtId="176" fontId="9" fillId="9" borderId="15" xfId="2" applyNumberFormat="1" applyFont="1" applyFill="1" applyBorder="1">
      <alignment vertical="center"/>
    </xf>
    <xf numFmtId="178" fontId="9" fillId="9" borderId="46" xfId="2" applyNumberFormat="1" applyFont="1" applyFill="1" applyBorder="1">
      <alignment vertical="center"/>
    </xf>
    <xf numFmtId="178" fontId="9" fillId="9" borderId="19" xfId="2" applyNumberFormat="1" applyFont="1" applyFill="1" applyBorder="1">
      <alignment vertical="center"/>
    </xf>
    <xf numFmtId="0" fontId="23" fillId="0" borderId="42" xfId="0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7" borderId="5" xfId="0" applyFont="1" applyFill="1" applyBorder="1" applyAlignment="1" applyProtection="1">
      <alignment horizontal="center" vertical="center" wrapText="1"/>
      <protection locked="0"/>
    </xf>
    <xf numFmtId="0" fontId="13" fillId="7" borderId="6" xfId="0" applyFont="1" applyFill="1" applyBorder="1" applyAlignment="1" applyProtection="1">
      <alignment horizontal="center" vertical="center" wrapText="1"/>
      <protection locked="0"/>
    </xf>
    <xf numFmtId="0" fontId="13" fillId="7" borderId="5" xfId="0" applyFont="1" applyFill="1" applyBorder="1" applyAlignment="1" applyProtection="1">
      <alignment horizontal="center" vertical="center" shrinkToFit="1"/>
      <protection locked="0"/>
    </xf>
    <xf numFmtId="0" fontId="13" fillId="7" borderId="6" xfId="0" applyFont="1" applyFill="1" applyBorder="1" applyAlignment="1" applyProtection="1">
      <alignment horizontal="center" vertical="center" shrinkToFit="1"/>
      <protection locked="0"/>
    </xf>
    <xf numFmtId="0" fontId="24" fillId="0" borderId="42" xfId="0" applyFont="1" applyBorder="1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0" fontId="13" fillId="7" borderId="8" xfId="0" applyFont="1" applyFill="1" applyBorder="1" applyAlignment="1" applyProtection="1">
      <alignment horizontal="center" vertical="center"/>
      <protection locked="0"/>
    </xf>
    <xf numFmtId="0" fontId="13" fillId="7" borderId="5" xfId="0" applyFont="1" applyFill="1" applyBorder="1" applyAlignment="1" applyProtection="1">
      <alignment horizontal="center" vertical="center"/>
      <protection locked="0"/>
    </xf>
    <xf numFmtId="0" fontId="13" fillId="7" borderId="6" xfId="0" applyFont="1" applyFill="1" applyBorder="1" applyAlignment="1" applyProtection="1">
      <alignment horizontal="center" vertical="center"/>
      <protection locked="0"/>
    </xf>
    <xf numFmtId="0" fontId="7" fillId="0" borderId="0" xfId="2" applyFont="1" applyBorder="1" applyAlignment="1">
      <alignment horizontal="left" vertical="center" shrinkToFit="1"/>
    </xf>
    <xf numFmtId="0" fontId="9" fillId="2" borderId="39" xfId="2" applyFont="1" applyFill="1" applyBorder="1" applyAlignment="1">
      <alignment horizontal="center" vertical="center"/>
    </xf>
    <xf numFmtId="0" fontId="9" fillId="2" borderId="26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 shrinkToFit="1"/>
    </xf>
    <xf numFmtId="0" fontId="7" fillId="2" borderId="10" xfId="2" applyFont="1" applyFill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FFBC5"/>
      <color rgb="FFFF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643247</xdr:colOff>
      <xdr:row>7</xdr:row>
      <xdr:rowOff>103909</xdr:rowOff>
    </xdr:from>
    <xdr:to>
      <xdr:col>1</xdr:col>
      <xdr:colOff>643247</xdr:colOff>
      <xdr:row>8</xdr:row>
      <xdr:rowOff>14844</xdr:rowOff>
    </xdr:to>
    <xdr:cxnSp macro="">
      <xdr:nvCxnSpPr>
        <xdr:cNvPr id="3" name="直線矢印コネクタ 2"/>
        <xdr:cNvCxnSpPr/>
      </xdr:nvCxnSpPr>
      <xdr:spPr>
        <a:xfrm>
          <a:off x="2478974" y="3013364"/>
          <a:ext cx="0" cy="326571"/>
        </a:xfrm>
        <a:prstGeom prst="straightConnector1">
          <a:avLst/>
        </a:prstGeom>
        <a:ln w="3492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727365</xdr:colOff>
      <xdr:row>7</xdr:row>
      <xdr:rowOff>63087</xdr:rowOff>
    </xdr:from>
    <xdr:to>
      <xdr:col>2</xdr:col>
      <xdr:colOff>415637</xdr:colOff>
      <xdr:row>8</xdr:row>
      <xdr:rowOff>86590</xdr:rowOff>
    </xdr:to>
    <xdr:sp macro="" textlink="">
      <xdr:nvSpPr>
        <xdr:cNvPr id="4" name="テキスト ボックス 3"/>
        <xdr:cNvSpPr txBox="1"/>
      </xdr:nvSpPr>
      <xdr:spPr>
        <a:xfrm>
          <a:off x="2563092" y="2972542"/>
          <a:ext cx="1333500" cy="439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買替の場合</a:t>
          </a:r>
        </a:p>
      </xdr:txBody>
    </xdr:sp>
    <xdr:clientData/>
  </xdr:twoCellAnchor>
  <xdr:twoCellAnchor>
    <xdr:from>
      <xdr:col>2</xdr:col>
      <xdr:colOff>124937</xdr:colOff>
      <xdr:row>6</xdr:row>
      <xdr:rowOff>155864</xdr:rowOff>
    </xdr:from>
    <xdr:to>
      <xdr:col>11</xdr:col>
      <xdr:colOff>628402</xdr:colOff>
      <xdr:row>6</xdr:row>
      <xdr:rowOff>155864</xdr:rowOff>
    </xdr:to>
    <xdr:cxnSp macro="">
      <xdr:nvCxnSpPr>
        <xdr:cNvPr id="8" name="直線コネクタ 7"/>
        <xdr:cNvCxnSpPr/>
      </xdr:nvCxnSpPr>
      <xdr:spPr>
        <a:xfrm>
          <a:off x="3605892" y="2649682"/>
          <a:ext cx="9716737" cy="0"/>
        </a:xfrm>
        <a:prstGeom prst="line">
          <a:avLst/>
        </a:prstGeom>
        <a:ln w="38100">
          <a:solidFill>
            <a:srgbClr val="0070C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614796</xdr:colOff>
      <xdr:row>6</xdr:row>
      <xdr:rowOff>134836</xdr:rowOff>
    </xdr:from>
    <xdr:to>
      <xdr:col>11</xdr:col>
      <xdr:colOff>614796</xdr:colOff>
      <xdr:row>7</xdr:row>
      <xdr:rowOff>346363</xdr:rowOff>
    </xdr:to>
    <xdr:cxnSp macro="">
      <xdr:nvCxnSpPr>
        <xdr:cNvPr id="9" name="直線矢印コネクタ 8"/>
        <xdr:cNvCxnSpPr/>
      </xdr:nvCxnSpPr>
      <xdr:spPr>
        <a:xfrm>
          <a:off x="13309023" y="2628654"/>
          <a:ext cx="0" cy="627164"/>
        </a:xfrm>
        <a:prstGeom prst="straightConnector1">
          <a:avLst/>
        </a:prstGeom>
        <a:ln w="34925">
          <a:solidFill>
            <a:srgbClr val="0070C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751114</xdr:colOff>
      <xdr:row>7</xdr:row>
      <xdr:rowOff>0</xdr:rowOff>
    </xdr:from>
    <xdr:to>
      <xdr:col>13</xdr:col>
      <xdr:colOff>1186544</xdr:colOff>
      <xdr:row>7</xdr:row>
      <xdr:rowOff>299357</xdr:rowOff>
    </xdr:to>
    <xdr:sp macro="" textlink="">
      <xdr:nvSpPr>
        <xdr:cNvPr id="11" name="テキスト ボックス 10"/>
        <xdr:cNvSpPr txBox="1"/>
      </xdr:nvSpPr>
      <xdr:spPr>
        <a:xfrm>
          <a:off x="11473543" y="3050722"/>
          <a:ext cx="2217965" cy="555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0070C0"/>
              </a:solidFill>
            </a:rPr>
            <a:t>新規の場合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584932</xdr:colOff>
      <xdr:row>11</xdr:row>
      <xdr:rowOff>185009</xdr:rowOff>
    </xdr:from>
    <xdr:to>
      <xdr:col>7</xdr:col>
      <xdr:colOff>555625</xdr:colOff>
      <xdr:row>13</xdr:row>
      <xdr:rowOff>23813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6200000">
          <a:off x="5314158" y="1631158"/>
          <a:ext cx="219804" cy="1137506"/>
        </a:xfrm>
        <a:prstGeom prst="leftBrace">
          <a:avLst>
            <a:gd name="adj1" fmla="val 8333"/>
            <a:gd name="adj2" fmla="val 51396"/>
          </a:avLst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7937</xdr:colOff>
      <xdr:row>12</xdr:row>
      <xdr:rowOff>7938</xdr:rowOff>
    </xdr:from>
    <xdr:to>
      <xdr:col>11</xdr:col>
      <xdr:colOff>547687</xdr:colOff>
      <xdr:row>13</xdr:row>
      <xdr:rowOff>39688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6200000">
          <a:off x="7052469" y="1075531"/>
          <a:ext cx="222250" cy="2278063"/>
        </a:xfrm>
        <a:prstGeom prst="lef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12</xdr:row>
      <xdr:rowOff>0</xdr:rowOff>
    </xdr:from>
    <xdr:to>
      <xdr:col>13</xdr:col>
      <xdr:colOff>571500</xdr:colOff>
      <xdr:row>13</xdr:row>
      <xdr:rowOff>63500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6200000">
          <a:off x="8782844" y="1647031"/>
          <a:ext cx="254000" cy="1150938"/>
        </a:xfrm>
        <a:prstGeom prst="lef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12</xdr:row>
      <xdr:rowOff>0</xdr:rowOff>
    </xdr:from>
    <xdr:to>
      <xdr:col>17</xdr:col>
      <xdr:colOff>571503</xdr:colOff>
      <xdr:row>13</xdr:row>
      <xdr:rowOff>63498</xdr:rowOff>
    </xdr:to>
    <xdr:sp macro="" textlink="">
      <xdr:nvSpPr>
        <xdr:cNvPr id="6" name="左中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6200000">
          <a:off x="10521159" y="1067591"/>
          <a:ext cx="253998" cy="2309816"/>
        </a:xfrm>
        <a:prstGeom prst="lef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317499</xdr:colOff>
      <xdr:row>13</xdr:row>
      <xdr:rowOff>87314</xdr:rowOff>
    </xdr:from>
    <xdr:to>
      <xdr:col>7</xdr:col>
      <xdr:colOff>420686</xdr:colOff>
      <xdr:row>14</xdr:row>
      <xdr:rowOff>111126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175249" y="2373314"/>
          <a:ext cx="682625" cy="214312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中間期</a:t>
          </a:r>
        </a:p>
      </xdr:txBody>
    </xdr:sp>
    <xdr:clientData/>
  </xdr:twoCellAnchor>
  <xdr:twoCellAnchor>
    <xdr:from>
      <xdr:col>9</xdr:col>
      <xdr:colOff>238124</xdr:colOff>
      <xdr:row>13</xdr:row>
      <xdr:rowOff>87312</xdr:rowOff>
    </xdr:from>
    <xdr:to>
      <xdr:col>10</xdr:col>
      <xdr:colOff>341312</xdr:colOff>
      <xdr:row>14</xdr:row>
      <xdr:rowOff>111124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834187" y="2373312"/>
          <a:ext cx="682625" cy="214312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夏期</a:t>
          </a:r>
        </a:p>
      </xdr:txBody>
    </xdr:sp>
    <xdr:clientData/>
  </xdr:twoCellAnchor>
  <xdr:twoCellAnchor>
    <xdr:from>
      <xdr:col>12</xdr:col>
      <xdr:colOff>285750</xdr:colOff>
      <xdr:row>13</xdr:row>
      <xdr:rowOff>111125</xdr:rowOff>
    </xdr:from>
    <xdr:to>
      <xdr:col>13</xdr:col>
      <xdr:colOff>333375</xdr:colOff>
      <xdr:row>14</xdr:row>
      <xdr:rowOff>134937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620125" y="2397125"/>
          <a:ext cx="627063" cy="214312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中間期</a:t>
          </a:r>
        </a:p>
      </xdr:txBody>
    </xdr:sp>
    <xdr:clientData/>
  </xdr:twoCellAnchor>
  <xdr:twoCellAnchor>
    <xdr:from>
      <xdr:col>15</xdr:col>
      <xdr:colOff>285750</xdr:colOff>
      <xdr:row>13</xdr:row>
      <xdr:rowOff>127000</xdr:rowOff>
    </xdr:from>
    <xdr:to>
      <xdr:col>16</xdr:col>
      <xdr:colOff>388938</xdr:colOff>
      <xdr:row>14</xdr:row>
      <xdr:rowOff>150812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0358438" y="2413000"/>
          <a:ext cx="682625" cy="214312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冬期</a:t>
          </a:r>
        </a:p>
      </xdr:txBody>
    </xdr:sp>
    <xdr:clientData/>
  </xdr:twoCellAnchor>
  <xdr:twoCellAnchor>
    <xdr:from>
      <xdr:col>5</xdr:col>
      <xdr:colOff>31750</xdr:colOff>
      <xdr:row>18</xdr:row>
      <xdr:rowOff>79373</xdr:rowOff>
    </xdr:from>
    <xdr:to>
      <xdr:col>11</xdr:col>
      <xdr:colOff>325438</xdr:colOff>
      <xdr:row>19</xdr:row>
      <xdr:rowOff>103186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302125" y="3508373"/>
          <a:ext cx="3778251" cy="22225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１　燃料使用量　</a:t>
          </a:r>
          <a:r>
            <a:rPr kumimoji="1" lang="en-US" altLang="ja-JP" sz="900">
              <a:solidFill>
                <a:sysClr val="windowText" lastClr="000000"/>
              </a:solidFill>
            </a:rPr>
            <a:t>=</a:t>
          </a:r>
          <a:r>
            <a:rPr kumimoji="1" lang="ja-JP" altLang="en-US" sz="900">
              <a:solidFill>
                <a:sysClr val="windowText" lastClr="000000"/>
              </a:solidFill>
            </a:rPr>
            <a:t>　給湯負荷　</a:t>
          </a:r>
          <a:r>
            <a:rPr kumimoji="1" lang="en-US" altLang="ja-JP" sz="900">
              <a:solidFill>
                <a:sysClr val="windowText" lastClr="000000"/>
              </a:solidFill>
            </a:rPr>
            <a:t>÷</a:t>
          </a:r>
          <a:r>
            <a:rPr kumimoji="1" lang="ja-JP" altLang="en-US" sz="900">
              <a:solidFill>
                <a:sysClr val="windowText" lastClr="000000"/>
              </a:solidFill>
            </a:rPr>
            <a:t>　給湯効率　</a:t>
          </a:r>
          <a:r>
            <a:rPr kumimoji="1" lang="en-US" altLang="ja-JP" sz="900">
              <a:solidFill>
                <a:sysClr val="windowText" lastClr="000000"/>
              </a:solidFill>
            </a:rPr>
            <a:t>÷</a:t>
          </a:r>
          <a:r>
            <a:rPr kumimoji="1" lang="ja-JP" altLang="en-US" sz="900">
              <a:solidFill>
                <a:sysClr val="windowText" lastClr="000000"/>
              </a:solidFill>
            </a:rPr>
            <a:t>　発熱量</a:t>
          </a:r>
        </a:p>
      </xdr:txBody>
    </xdr:sp>
    <xdr:clientData/>
  </xdr:twoCellAnchor>
  <xdr:oneCellAnchor>
    <xdr:from>
      <xdr:col>11</xdr:col>
      <xdr:colOff>103187</xdr:colOff>
      <xdr:row>9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8581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</xdr:col>
      <xdr:colOff>95718</xdr:colOff>
      <xdr:row>19</xdr:row>
      <xdr:rowOff>166688</xdr:rowOff>
    </xdr:from>
    <xdr:to>
      <xdr:col>11</xdr:col>
      <xdr:colOff>389406</xdr:colOff>
      <xdr:row>20</xdr:row>
      <xdr:rowOff>190502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365159" y="3797394"/>
          <a:ext cx="3801129" cy="2255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２　ＣＯ₂排出量　</a:t>
          </a:r>
          <a:r>
            <a:rPr kumimoji="1" lang="en-US" altLang="ja-JP" sz="900">
              <a:solidFill>
                <a:sysClr val="windowText" lastClr="000000"/>
              </a:solidFill>
            </a:rPr>
            <a:t>=</a:t>
          </a:r>
          <a:r>
            <a:rPr kumimoji="1" lang="ja-JP" altLang="en-US" sz="900">
              <a:solidFill>
                <a:sysClr val="windowText" lastClr="000000"/>
              </a:solidFill>
            </a:rPr>
            <a:t>　燃料使用量　</a:t>
          </a:r>
          <a:r>
            <a:rPr kumimoji="1" lang="en-US" altLang="ja-JP" sz="900">
              <a:solidFill>
                <a:sysClr val="windowText" lastClr="000000"/>
              </a:solidFill>
            </a:rPr>
            <a:t>×</a:t>
          </a:r>
          <a:r>
            <a:rPr kumimoji="1" lang="ja-JP" altLang="en-US" sz="900">
              <a:solidFill>
                <a:sysClr val="windowText" lastClr="000000"/>
              </a:solidFill>
            </a:rPr>
            <a:t>　ＣＯ₂排出係数</a:t>
          </a:r>
        </a:p>
      </xdr:txBody>
    </xdr:sp>
    <xdr:clientData/>
  </xdr:twoCellAnchor>
  <xdr:twoCellAnchor>
    <xdr:from>
      <xdr:col>5</xdr:col>
      <xdr:colOff>55562</xdr:colOff>
      <xdr:row>25</xdr:row>
      <xdr:rowOff>103187</xdr:rowOff>
    </xdr:from>
    <xdr:to>
      <xdr:col>11</xdr:col>
      <xdr:colOff>349250</xdr:colOff>
      <xdr:row>26</xdr:row>
      <xdr:rowOff>127001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325003" y="4944128"/>
          <a:ext cx="3801129" cy="83063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上と同じ要領で計算する。</a:t>
          </a:r>
        </a:p>
      </xdr:txBody>
    </xdr:sp>
    <xdr:clientData/>
  </xdr:twoCellAnchor>
  <xdr:twoCellAnchor>
    <xdr:from>
      <xdr:col>5</xdr:col>
      <xdr:colOff>39688</xdr:colOff>
      <xdr:row>33</xdr:row>
      <xdr:rowOff>133071</xdr:rowOff>
    </xdr:from>
    <xdr:to>
      <xdr:col>11</xdr:col>
      <xdr:colOff>333376</xdr:colOff>
      <xdr:row>34</xdr:row>
      <xdr:rowOff>156885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309129" y="6587659"/>
          <a:ext cx="3801129" cy="2255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２　ＣＯ₂排出量　</a:t>
          </a:r>
          <a:r>
            <a:rPr kumimoji="1" lang="en-US" altLang="ja-JP" sz="900">
              <a:solidFill>
                <a:sysClr val="windowText" lastClr="000000"/>
              </a:solidFill>
            </a:rPr>
            <a:t>=</a:t>
          </a:r>
          <a:r>
            <a:rPr kumimoji="1" lang="ja-JP" altLang="en-US" sz="900">
              <a:solidFill>
                <a:sysClr val="windowText" lastClr="000000"/>
              </a:solidFill>
            </a:rPr>
            <a:t>　燃料使用量　</a:t>
          </a:r>
          <a:r>
            <a:rPr kumimoji="1" lang="en-US" altLang="ja-JP" sz="900">
              <a:solidFill>
                <a:sysClr val="windowText" lastClr="000000"/>
              </a:solidFill>
            </a:rPr>
            <a:t>×</a:t>
          </a:r>
          <a:r>
            <a:rPr kumimoji="1" lang="ja-JP" altLang="en-US" sz="900">
              <a:solidFill>
                <a:sysClr val="windowText" lastClr="000000"/>
              </a:solidFill>
            </a:rPr>
            <a:t>　ＣＯ₂排出係数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33"/>
  <sheetViews>
    <sheetView tabSelected="1" zoomScale="55" zoomScaleNormal="55" workbookViewId="0">
      <selection activeCell="N7" sqref="N7"/>
    </sheetView>
  </sheetViews>
  <sheetFormatPr defaultColWidth="17.375" defaultRowHeight="29.25" customHeight="1"/>
  <cols>
    <col min="1" max="1" width="24" style="77" customWidth="1"/>
    <col min="2" max="3" width="21.625" style="77" customWidth="1"/>
    <col min="4" max="5" width="13.25" style="77" customWidth="1"/>
    <col min="6" max="6" width="9.75" style="77" bestFit="1" customWidth="1"/>
    <col min="7" max="7" width="9.75" style="77" customWidth="1"/>
    <col min="8" max="8" width="4.25" style="77" customWidth="1"/>
    <col min="9" max="9" width="21.875" style="77" customWidth="1"/>
    <col min="10" max="13" width="13.625" style="77" customWidth="1"/>
    <col min="14" max="16384" width="17.375" style="77"/>
  </cols>
  <sheetData>
    <row r="1" spans="1:14" ht="33" customHeight="1">
      <c r="A1" s="149" t="s">
        <v>90</v>
      </c>
    </row>
    <row r="2" spans="1:14" ht="33" customHeight="1">
      <c r="A2" s="157" t="s">
        <v>126</v>
      </c>
      <c r="B2" s="157"/>
      <c r="C2" s="157"/>
      <c r="D2" s="157"/>
      <c r="E2" s="157"/>
      <c r="F2" s="157"/>
      <c r="G2" s="121"/>
    </row>
    <row r="3" spans="1:14" ht="33" customHeight="1">
      <c r="A3" s="66" t="s">
        <v>113</v>
      </c>
      <c r="B3" s="66"/>
      <c r="C3" s="66"/>
      <c r="D3" s="66"/>
      <c r="E3" s="66"/>
    </row>
    <row r="4" spans="1:14" ht="33" customHeight="1">
      <c r="A4" s="67" t="s">
        <v>0</v>
      </c>
      <c r="B4" s="139" t="s">
        <v>1</v>
      </c>
      <c r="C4" s="68" t="s">
        <v>46</v>
      </c>
      <c r="D4" s="87"/>
      <c r="E4" s="87"/>
    </row>
    <row r="5" spans="1:14" ht="33" customHeight="1">
      <c r="A5" s="71"/>
      <c r="B5" s="71"/>
      <c r="C5" s="68"/>
      <c r="D5" s="87"/>
      <c r="E5" s="87"/>
    </row>
    <row r="6" spans="1:14" ht="33" customHeight="1">
      <c r="A6" s="134" t="s">
        <v>114</v>
      </c>
      <c r="B6" s="133"/>
      <c r="C6" s="68"/>
      <c r="D6" s="87"/>
      <c r="E6" s="87"/>
    </row>
    <row r="7" spans="1:14" ht="33" customHeight="1">
      <c r="A7" s="67" t="s">
        <v>117</v>
      </c>
      <c r="B7" s="137"/>
      <c r="C7" s="68"/>
      <c r="D7" s="87"/>
      <c r="E7" s="87"/>
    </row>
    <row r="8" spans="1:14" ht="33" customHeight="1">
      <c r="A8" s="134"/>
      <c r="B8" s="133"/>
      <c r="C8" s="68"/>
      <c r="D8" s="87"/>
      <c r="E8" s="87"/>
    </row>
    <row r="9" spans="1:14" ht="33" customHeight="1">
      <c r="A9" s="144" t="s">
        <v>118</v>
      </c>
      <c r="B9" s="73"/>
      <c r="C9" s="87"/>
      <c r="D9" s="87"/>
      <c r="E9" s="87"/>
      <c r="I9" s="143" t="s">
        <v>91</v>
      </c>
    </row>
    <row r="10" spans="1:14" ht="33" customHeight="1">
      <c r="A10" s="72"/>
      <c r="B10" s="160" t="s">
        <v>45</v>
      </c>
      <c r="C10" s="161"/>
      <c r="D10" s="160" t="s">
        <v>41</v>
      </c>
      <c r="E10" s="161"/>
      <c r="I10" s="129"/>
      <c r="J10" s="160" t="s">
        <v>115</v>
      </c>
      <c r="K10" s="161"/>
      <c r="L10" s="167" t="s">
        <v>116</v>
      </c>
      <c r="M10" s="167"/>
    </row>
    <row r="11" spans="1:14" ht="42.75" customHeight="1">
      <c r="A11" s="74" t="s">
        <v>119</v>
      </c>
      <c r="B11" s="162"/>
      <c r="C11" s="163"/>
      <c r="D11" s="164"/>
      <c r="E11" s="165"/>
      <c r="I11" s="74" t="s">
        <v>119</v>
      </c>
      <c r="J11" s="138"/>
      <c r="K11" s="138"/>
      <c r="L11" s="167" t="s">
        <v>57</v>
      </c>
      <c r="M11" s="167"/>
    </row>
    <row r="12" spans="1:14" ht="33" customHeight="1">
      <c r="A12" s="74" t="s">
        <v>48</v>
      </c>
      <c r="B12" s="164"/>
      <c r="C12" s="165"/>
      <c r="D12" s="164"/>
      <c r="E12" s="165"/>
      <c r="F12" s="77" t="s">
        <v>47</v>
      </c>
      <c r="I12" s="74" t="s">
        <v>48</v>
      </c>
      <c r="J12" s="138"/>
      <c r="K12" s="138"/>
      <c r="L12" s="168"/>
      <c r="M12" s="168"/>
      <c r="N12" s="77" t="s">
        <v>47</v>
      </c>
    </row>
    <row r="13" spans="1:14" ht="33" customHeight="1">
      <c r="A13" s="74" t="s">
        <v>49</v>
      </c>
      <c r="B13" s="164"/>
      <c r="C13" s="165"/>
      <c r="D13" s="164"/>
      <c r="E13" s="165"/>
      <c r="F13" s="77" t="s">
        <v>47</v>
      </c>
      <c r="I13" s="74" t="s">
        <v>49</v>
      </c>
      <c r="J13" s="138"/>
      <c r="K13" s="138"/>
      <c r="L13" s="169"/>
      <c r="M13" s="170"/>
      <c r="N13" s="77" t="s">
        <v>47</v>
      </c>
    </row>
    <row r="14" spans="1:14" ht="33" customHeight="1">
      <c r="A14" s="74" t="s">
        <v>120</v>
      </c>
      <c r="B14" s="135"/>
      <c r="C14" s="132" t="s">
        <v>112</v>
      </c>
      <c r="D14" s="135"/>
      <c r="E14" s="132" t="s">
        <v>112</v>
      </c>
      <c r="F14" s="77" t="s">
        <v>47</v>
      </c>
      <c r="I14" s="72" t="s">
        <v>109</v>
      </c>
      <c r="J14" s="131">
        <f>IF(B14="",0.821,"")</f>
        <v>0.82099999999999995</v>
      </c>
      <c r="K14" s="130" t="s">
        <v>110</v>
      </c>
      <c r="L14" s="136"/>
      <c r="M14" s="132" t="s">
        <v>112</v>
      </c>
      <c r="N14" s="77" t="s">
        <v>47</v>
      </c>
    </row>
    <row r="15" spans="1:14" ht="24.75" customHeight="1">
      <c r="A15" s="75" t="s">
        <v>50</v>
      </c>
      <c r="B15" s="76"/>
      <c r="C15" s="76"/>
      <c r="D15" s="76"/>
      <c r="E15" s="76"/>
    </row>
    <row r="16" spans="1:14" ht="24.75" customHeight="1">
      <c r="A16" s="75" t="s">
        <v>128</v>
      </c>
      <c r="B16" s="76"/>
      <c r="C16" s="76"/>
      <c r="D16" s="76"/>
      <c r="E16" s="76"/>
    </row>
    <row r="17" spans="1:14" ht="24.75" customHeight="1">
      <c r="A17" s="75" t="s">
        <v>127</v>
      </c>
      <c r="B17" s="76"/>
      <c r="C17" s="76"/>
      <c r="D17" s="76"/>
      <c r="E17" s="76"/>
    </row>
    <row r="18" spans="1:14" ht="24.75" customHeight="1">
      <c r="A18" s="77" t="s">
        <v>122</v>
      </c>
      <c r="B18" s="76"/>
      <c r="C18" s="76"/>
      <c r="D18" s="76"/>
      <c r="E18" s="76"/>
    </row>
    <row r="19" spans="1:14" ht="24.75" customHeight="1">
      <c r="A19" s="77" t="s">
        <v>129</v>
      </c>
      <c r="B19" s="76"/>
      <c r="C19" s="76"/>
      <c r="D19" s="76"/>
      <c r="E19" s="76"/>
    </row>
    <row r="20" spans="1:14" ht="24.75" customHeight="1">
      <c r="A20" s="75" t="s">
        <v>121</v>
      </c>
      <c r="B20" s="76"/>
      <c r="C20" s="76"/>
      <c r="D20" s="76"/>
      <c r="E20" s="76"/>
    </row>
    <row r="21" spans="1:14" ht="33" customHeight="1">
      <c r="A21" s="142" t="s">
        <v>118</v>
      </c>
      <c r="B21" s="93"/>
      <c r="C21" s="93"/>
      <c r="D21" s="93"/>
      <c r="E21" s="93"/>
      <c r="I21" s="143" t="s">
        <v>91</v>
      </c>
    </row>
    <row r="22" spans="1:14" ht="33" customHeight="1">
      <c r="A22" s="68" t="s">
        <v>64</v>
      </c>
      <c r="B22" s="87"/>
      <c r="C22" s="87"/>
      <c r="D22" s="87"/>
      <c r="E22" s="87"/>
      <c r="I22" s="68" t="s">
        <v>64</v>
      </c>
      <c r="J22" s="87"/>
      <c r="K22" s="87"/>
      <c r="L22" s="87"/>
      <c r="M22" s="87"/>
    </row>
    <row r="23" spans="1:14" ht="33" customHeight="1">
      <c r="A23" s="67"/>
      <c r="B23" s="160" t="s">
        <v>40</v>
      </c>
      <c r="C23" s="161"/>
      <c r="D23" s="160" t="s">
        <v>41</v>
      </c>
      <c r="E23" s="161"/>
      <c r="I23" s="67"/>
      <c r="J23" s="160" t="s">
        <v>40</v>
      </c>
      <c r="K23" s="161"/>
      <c r="L23" s="160" t="s">
        <v>41</v>
      </c>
      <c r="M23" s="161"/>
    </row>
    <row r="24" spans="1:14" ht="33" customHeight="1">
      <c r="A24" s="67" t="s">
        <v>51</v>
      </c>
      <c r="B24" s="69" t="str">
        <f>IF(B7="買替",詳細試算!S17,"")</f>
        <v/>
      </c>
      <c r="C24" s="86" t="b">
        <f>詳細試算!F17</f>
        <v>0</v>
      </c>
      <c r="D24" s="69" t="str">
        <f>IF(B7="買替",詳細試算!S24,"")</f>
        <v/>
      </c>
      <c r="E24" s="86" t="b">
        <f>詳細試算!F24</f>
        <v>0</v>
      </c>
      <c r="F24" s="77" t="s">
        <v>53</v>
      </c>
      <c r="I24" s="67" t="s">
        <v>51</v>
      </c>
      <c r="J24" s="69" t="str">
        <f>IF(B7="新規",IF(B4="2～3人",詳細試算!S30,詳細試算!S32),"")</f>
        <v/>
      </c>
      <c r="K24" s="123" t="s">
        <v>111</v>
      </c>
      <c r="L24" s="69" t="e">
        <f>IF(B4="2～3人",詳細試算!S39,詳細試算!S45)</f>
        <v>#DIV/0!</v>
      </c>
      <c r="M24" s="123" t="s">
        <v>134</v>
      </c>
      <c r="N24" s="77" t="s">
        <v>53</v>
      </c>
    </row>
    <row r="25" spans="1:14" ht="33" customHeight="1">
      <c r="A25" s="67" t="s">
        <v>52</v>
      </c>
      <c r="B25" s="69" t="str">
        <f>IF(B7="買替",詳細試算!S18,"")</f>
        <v/>
      </c>
      <c r="C25" s="86" t="s">
        <v>42</v>
      </c>
      <c r="D25" s="69" t="str">
        <f>IF(B7="買替",詳細試算!S25,"")</f>
        <v/>
      </c>
      <c r="E25" s="86" t="s">
        <v>42</v>
      </c>
      <c r="F25" s="77" t="s">
        <v>53</v>
      </c>
      <c r="I25" s="67" t="s">
        <v>52</v>
      </c>
      <c r="J25" s="69" t="str">
        <f>IF(B7="新規",IF(B4="2～3人",詳細試算!S31,詳細試算!S33),"")</f>
        <v/>
      </c>
      <c r="K25" s="123" t="s">
        <v>42</v>
      </c>
      <c r="L25" s="69" t="e">
        <f>IF(B4="2～3人",詳細試算!S40,詳細試算!S46)</f>
        <v>#DIV/0!</v>
      </c>
      <c r="M25" s="123" t="s">
        <v>42</v>
      </c>
      <c r="N25" s="77" t="s">
        <v>53</v>
      </c>
    </row>
    <row r="26" spans="1:14" ht="33" customHeight="1">
      <c r="A26" s="70" t="s">
        <v>44</v>
      </c>
      <c r="B26" s="158"/>
      <c r="C26" s="159"/>
      <c r="D26" s="119" t="e">
        <f>(1-D25/B25)*100</f>
        <v>#VALUE!</v>
      </c>
      <c r="E26" s="85" t="s">
        <v>43</v>
      </c>
      <c r="F26" s="77" t="s">
        <v>53</v>
      </c>
      <c r="I26" s="70" t="s">
        <v>44</v>
      </c>
      <c r="J26" s="158"/>
      <c r="K26" s="159"/>
      <c r="L26" s="119" t="e">
        <f>IF(L25="","",(1-L25/J25)*100)</f>
        <v>#DIV/0!</v>
      </c>
      <c r="M26" s="122" t="s">
        <v>43</v>
      </c>
      <c r="N26" s="77" t="s">
        <v>53</v>
      </c>
    </row>
    <row r="27" spans="1:14" ht="29.25" customHeight="1">
      <c r="A27" s="156" t="e">
        <f>IF(D26&gt;=30,"補助事業の要件を満たしています","補助事業の要件を満たしていません")</f>
        <v>#VALUE!</v>
      </c>
      <c r="B27" s="156"/>
      <c r="C27" s="156"/>
      <c r="D27" s="156"/>
      <c r="E27" s="156"/>
      <c r="I27" s="166" t="e">
        <f>IF(L26&gt;=30,"補助事業の要件を満たしています","補助事業の要件を満たしていません")</f>
        <v>#DIV/0!</v>
      </c>
      <c r="J27" s="166"/>
      <c r="K27" s="166"/>
      <c r="L27" s="166"/>
      <c r="M27" s="166"/>
    </row>
    <row r="28" spans="1:14" ht="24" customHeight="1"/>
    <row r="29" spans="1:14" ht="24" customHeight="1"/>
    <row r="30" spans="1:14" ht="24" customHeight="1"/>
    <row r="31" spans="1:14" ht="24" customHeight="1"/>
    <row r="32" spans="1:14" ht="24" customHeight="1"/>
    <row r="33" ht="24" customHeight="1"/>
  </sheetData>
  <sheetProtection algorithmName="SHA-512" hashValue="tYzA87avAz5FW252TVMy+5Wicj83W9V5DHgIa9PHVxDJdvLIoNmN/oWk2fGuD4QheAfS0UbUJHK+TWQDwXh5rA==" saltValue="g0WMOLGPj8Eh/SEKBH1lcA==" spinCount="100000" sheet="1" objects="1" scenarios="1"/>
  <protectedRanges>
    <protectedRange sqref="D11:E11" name="範囲2"/>
    <protectedRange sqref="B4 B7 B11:C11 B12:C12 B13:C13 B14 D14 D13:E13 D13:E13 D11:E11 D12:E12 L12:M12 L13:M13 L14" name="範囲1"/>
  </protectedRanges>
  <mergeCells count="22">
    <mergeCell ref="J23:K23"/>
    <mergeCell ref="L23:M23"/>
    <mergeCell ref="J26:K26"/>
    <mergeCell ref="I27:M27"/>
    <mergeCell ref="L10:M10"/>
    <mergeCell ref="J10:K10"/>
    <mergeCell ref="L11:M11"/>
    <mergeCell ref="L12:M12"/>
    <mergeCell ref="L13:M13"/>
    <mergeCell ref="A27:E27"/>
    <mergeCell ref="A2:F2"/>
    <mergeCell ref="B26:C26"/>
    <mergeCell ref="B23:C23"/>
    <mergeCell ref="D23:E23"/>
    <mergeCell ref="B10:C10"/>
    <mergeCell ref="D10:E10"/>
    <mergeCell ref="B11:C11"/>
    <mergeCell ref="D11:E11"/>
    <mergeCell ref="B12:C12"/>
    <mergeCell ref="D12:E12"/>
    <mergeCell ref="B13:C13"/>
    <mergeCell ref="D13:E13"/>
  </mergeCells>
  <phoneticPr fontId="1"/>
  <dataValidations count="1">
    <dataValidation type="list" allowBlank="1" showInputMessage="1" showErrorMessage="1" sqref="B7">
      <formula1>"買替,新規"</formula1>
    </dataValidation>
  </dataValidations>
  <pageMargins left="0.78740157480314965" right="0.78740157480314965" top="0.98425196850393704" bottom="0.98425196850393704" header="0.51181102362204722" footer="0.51181102362204722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テーブル!$A$3:$A$4</xm:f>
          </x14:formula1>
          <xm:sqref>B4:B6 B8</xm:sqref>
        </x14:dataValidation>
        <x14:dataValidation type="list" showInputMessage="1">
          <x14:formula1>
            <xm:f>テーブル!$C$3:$C$9</xm:f>
          </x14:formula1>
          <xm:sqref>B11:C11</xm:sqref>
        </x14:dataValidation>
        <x14:dataValidation type="list" allowBlank="1" showInputMessage="1" showErrorMessage="1">
          <x14:formula1>
            <xm:f>テーブル!$D$3:$D$6</xm:f>
          </x14:formula1>
          <xm:sqref>D11:E11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C1:Y46"/>
  <sheetViews>
    <sheetView view="pageBreakPreview" zoomScale="85" zoomScaleNormal="110" zoomScaleSheetLayoutView="85" workbookViewId="0">
      <selection activeCell="I6" sqref="I6"/>
    </sheetView>
  </sheetViews>
  <sheetFormatPr defaultColWidth="8.875" defaultRowHeight="16.149999999999999" customHeight="1"/>
  <cols>
    <col min="1" max="2" width="8.875" style="3"/>
    <col min="3" max="3" width="4.25" style="5" customWidth="1"/>
    <col min="4" max="4" width="18.375" style="3" bestFit="1" customWidth="1"/>
    <col min="5" max="5" width="15.75" style="4" customWidth="1"/>
    <col min="6" max="6" width="7.75" style="3" customWidth="1"/>
    <col min="7" max="18" width="7.625" style="3" customWidth="1"/>
    <col min="19" max="19" width="8.875" style="3" customWidth="1"/>
    <col min="20" max="20" width="17.125" style="3" customWidth="1"/>
    <col min="21" max="16384" width="8.875" style="3"/>
  </cols>
  <sheetData>
    <row r="1" spans="3:25" ht="15" customHeight="1">
      <c r="C1" s="2" t="s">
        <v>3</v>
      </c>
    </row>
    <row r="2" spans="3:25" ht="15" customHeight="1">
      <c r="D2" s="6"/>
      <c r="F2" s="7" t="s">
        <v>4</v>
      </c>
      <c r="G2" s="8"/>
      <c r="H2" s="8"/>
      <c r="I2" s="8"/>
      <c r="J2" s="8"/>
      <c r="K2" s="8"/>
      <c r="L2" s="171" t="s">
        <v>69</v>
      </c>
      <c r="M2" s="171"/>
      <c r="N2" s="8"/>
      <c r="O2" s="7" t="s">
        <v>87</v>
      </c>
      <c r="P2" s="8"/>
      <c r="Q2" s="7"/>
      <c r="S2" s="8"/>
      <c r="U2" s="95"/>
      <c r="V2" s="176" t="s">
        <v>1</v>
      </c>
      <c r="W2" s="176"/>
      <c r="X2" s="176" t="s">
        <v>63</v>
      </c>
      <c r="Y2" s="176"/>
    </row>
    <row r="3" spans="3:25" ht="15" customHeight="1">
      <c r="D3" s="9"/>
      <c r="E3" s="10"/>
      <c r="F3" s="13"/>
      <c r="G3" s="172" t="s">
        <v>85</v>
      </c>
      <c r="H3" s="173"/>
      <c r="I3" s="174" t="s">
        <v>71</v>
      </c>
      <c r="J3" s="175"/>
      <c r="K3" s="11"/>
      <c r="L3" s="140" t="s">
        <v>55</v>
      </c>
      <c r="M3" s="91">
        <f>IF(計算シート!B11="電気温水器",0.9,計算シート!B14)</f>
        <v>0</v>
      </c>
      <c r="N3" s="145"/>
      <c r="O3" s="78"/>
      <c r="P3" s="62" t="s">
        <v>1</v>
      </c>
      <c r="Q3" s="62" t="s">
        <v>2</v>
      </c>
      <c r="R3" s="61" t="s">
        <v>39</v>
      </c>
      <c r="S3" s="61"/>
      <c r="U3" s="95"/>
      <c r="V3" s="49" t="s">
        <v>58</v>
      </c>
      <c r="W3" s="49" t="s">
        <v>62</v>
      </c>
      <c r="X3" s="49" t="s">
        <v>58</v>
      </c>
      <c r="Y3" s="49" t="s">
        <v>62</v>
      </c>
    </row>
    <row r="4" spans="3:25" ht="15" customHeight="1">
      <c r="D4" s="9"/>
      <c r="E4" s="12"/>
      <c r="F4" s="15" t="s">
        <v>5</v>
      </c>
      <c r="G4" s="152">
        <v>36.5</v>
      </c>
      <c r="H4" s="16" t="s">
        <v>6</v>
      </c>
      <c r="I4" s="114">
        <v>2.5</v>
      </c>
      <c r="J4" s="17" t="s">
        <v>7</v>
      </c>
      <c r="K4" s="14"/>
      <c r="L4" s="94" t="s">
        <v>41</v>
      </c>
      <c r="M4" s="92">
        <f>IF(計算シート!B7="新規",計算シート!L14,計算シート!D14)</f>
        <v>0</v>
      </c>
      <c r="N4" s="146"/>
      <c r="O4" s="79" t="s">
        <v>9</v>
      </c>
      <c r="P4" s="103">
        <f>V4+W4</f>
        <v>27.798999999999999</v>
      </c>
      <c r="Q4" s="104">
        <f>X4+Y4</f>
        <v>46.552999999999997</v>
      </c>
      <c r="R4" s="63">
        <f>IF(計算シート!B4=P3,P4,Q4)</f>
        <v>27.798999999999999</v>
      </c>
      <c r="S4" s="63" t="s">
        <v>10</v>
      </c>
      <c r="U4" s="95" t="s">
        <v>59</v>
      </c>
      <c r="V4" s="96">
        <v>26.515000000000001</v>
      </c>
      <c r="W4" s="96">
        <v>1.284</v>
      </c>
      <c r="X4" s="96">
        <v>43.472999999999999</v>
      </c>
      <c r="Y4" s="96">
        <v>3.08</v>
      </c>
    </row>
    <row r="5" spans="3:25" ht="15" customHeight="1">
      <c r="D5" s="9"/>
      <c r="E5" s="12"/>
      <c r="F5" s="15" t="s">
        <v>89</v>
      </c>
      <c r="G5" s="152">
        <v>98.8</v>
      </c>
      <c r="H5" s="16" t="s">
        <v>37</v>
      </c>
      <c r="I5" s="153">
        <v>6.5279999999999996</v>
      </c>
      <c r="J5" s="17" t="s">
        <v>38</v>
      </c>
      <c r="K5" s="14"/>
      <c r="L5" s="147" t="s">
        <v>125</v>
      </c>
      <c r="M5" s="148" t="b">
        <f>IF((IF(計算シート!$B$11=テーブル!$C$5,(計算シート!B14-0.7),IF(計算シート!$B$11=テーブル!$C$6,(計算シート!B14-0.5))))&lt;2.7,2.7,(IF(計算シート!$B$11=テーブル!$C$5,(計算シート!B14-0.7),IF(計算シート!$B$11=テーブル!$C$6,(計算シート!B14-0.5)))))</f>
        <v>0</v>
      </c>
      <c r="N5" s="88"/>
      <c r="O5" s="80" t="s">
        <v>14</v>
      </c>
      <c r="P5" s="105">
        <f t="shared" ref="P5" si="0">V5+W5</f>
        <v>19.221</v>
      </c>
      <c r="Q5" s="106">
        <f t="shared" ref="Q5:Q6" si="1">X5+Y5</f>
        <v>32.103000000000002</v>
      </c>
      <c r="R5" s="64">
        <f>IF(計算シート!B4=P3,P5,Q5)</f>
        <v>19.221</v>
      </c>
      <c r="S5" s="64" t="s">
        <v>10</v>
      </c>
      <c r="U5" s="95" t="s">
        <v>60</v>
      </c>
      <c r="V5" s="96">
        <v>18.445</v>
      </c>
      <c r="W5" s="96">
        <v>0.77600000000000002</v>
      </c>
      <c r="X5" s="96">
        <v>30.242000000000001</v>
      </c>
      <c r="Y5" s="96">
        <v>1.861</v>
      </c>
    </row>
    <row r="6" spans="3:25" ht="15" customHeight="1">
      <c r="D6" s="9"/>
      <c r="E6" s="9"/>
      <c r="F6" s="97" t="s">
        <v>65</v>
      </c>
      <c r="G6" s="115">
        <v>45</v>
      </c>
      <c r="H6" s="98" t="s">
        <v>37</v>
      </c>
      <c r="I6" s="154">
        <v>2.09</v>
      </c>
      <c r="J6" s="99" t="s">
        <v>13</v>
      </c>
      <c r="K6" s="21"/>
      <c r="L6" s="89"/>
      <c r="M6" s="90"/>
      <c r="N6" s="88"/>
      <c r="O6" s="81" t="s">
        <v>8</v>
      </c>
      <c r="P6" s="107">
        <f>V6+W6</f>
        <v>37.471000000000004</v>
      </c>
      <c r="Q6" s="108">
        <f t="shared" si="1"/>
        <v>62.713999999999999</v>
      </c>
      <c r="R6" s="65">
        <f>IF(計算シート!B4=P3,P6,Q6)</f>
        <v>37.471000000000004</v>
      </c>
      <c r="S6" s="65" t="s">
        <v>10</v>
      </c>
      <c r="U6" s="95" t="s">
        <v>61</v>
      </c>
      <c r="V6" s="96">
        <v>35.737000000000002</v>
      </c>
      <c r="W6" s="96">
        <v>1.734</v>
      </c>
      <c r="X6" s="96">
        <v>58.594000000000001</v>
      </c>
      <c r="Y6" s="96">
        <v>4.12</v>
      </c>
    </row>
    <row r="7" spans="3:25" ht="15" customHeight="1">
      <c r="D7" s="9"/>
      <c r="E7" s="9"/>
      <c r="F7" s="18" t="s">
        <v>11</v>
      </c>
      <c r="G7" s="116">
        <v>3.6</v>
      </c>
      <c r="H7" s="19" t="s">
        <v>12</v>
      </c>
      <c r="I7" s="155">
        <v>0.40100000000000002</v>
      </c>
      <c r="J7" s="20" t="s">
        <v>84</v>
      </c>
      <c r="K7" s="21"/>
      <c r="L7" s="60"/>
      <c r="M7" s="60"/>
      <c r="O7" s="9"/>
      <c r="P7" s="23"/>
      <c r="Q7" s="22"/>
    </row>
    <row r="8" spans="3:25" ht="15" customHeight="1">
      <c r="C8" s="24" t="s">
        <v>15</v>
      </c>
      <c r="D8" s="25"/>
      <c r="G8" s="3" t="s">
        <v>86</v>
      </c>
    </row>
    <row r="9" spans="3:25" ht="15" customHeight="1">
      <c r="C9" s="24"/>
      <c r="D9" s="25"/>
    </row>
    <row r="10" spans="3:25" ht="15" customHeight="1">
      <c r="C10" s="26"/>
      <c r="D10" s="27"/>
      <c r="E10" s="28" t="s">
        <v>81</v>
      </c>
      <c r="F10" s="26" t="s">
        <v>16</v>
      </c>
      <c r="G10" s="29" t="s">
        <v>17</v>
      </c>
      <c r="H10" s="30" t="s">
        <v>18</v>
      </c>
      <c r="I10" s="30" t="s">
        <v>19</v>
      </c>
      <c r="J10" s="30" t="s">
        <v>20</v>
      </c>
      <c r="K10" s="30" t="s">
        <v>21</v>
      </c>
      <c r="L10" s="30" t="s">
        <v>22</v>
      </c>
      <c r="M10" s="30" t="s">
        <v>23</v>
      </c>
      <c r="N10" s="30" t="s">
        <v>24</v>
      </c>
      <c r="O10" s="30" t="s">
        <v>25</v>
      </c>
      <c r="P10" s="30" t="s">
        <v>26</v>
      </c>
      <c r="Q10" s="30" t="s">
        <v>27</v>
      </c>
      <c r="R10" s="31" t="s">
        <v>28</v>
      </c>
      <c r="S10" s="32" t="s">
        <v>29</v>
      </c>
    </row>
    <row r="11" spans="3:25" ht="15" customHeight="1">
      <c r="C11" s="26" t="s">
        <v>72</v>
      </c>
      <c r="D11" s="33" t="s">
        <v>30</v>
      </c>
      <c r="E11" s="102"/>
      <c r="F11" s="35" t="s">
        <v>31</v>
      </c>
      <c r="G11" s="36">
        <v>30</v>
      </c>
      <c r="H11" s="37">
        <v>31</v>
      </c>
      <c r="I11" s="37">
        <v>30</v>
      </c>
      <c r="J11" s="37">
        <v>31</v>
      </c>
      <c r="K11" s="37">
        <v>31</v>
      </c>
      <c r="L11" s="37">
        <v>30</v>
      </c>
      <c r="M11" s="37">
        <v>31</v>
      </c>
      <c r="N11" s="37">
        <v>30</v>
      </c>
      <c r="O11" s="37">
        <v>31</v>
      </c>
      <c r="P11" s="37">
        <v>31</v>
      </c>
      <c r="Q11" s="37">
        <v>28</v>
      </c>
      <c r="R11" s="38">
        <v>31</v>
      </c>
      <c r="S11" s="39">
        <f>SUM(G11:R11)</f>
        <v>365</v>
      </c>
    </row>
    <row r="12" spans="3:25" ht="15" customHeight="1">
      <c r="C12" s="26" t="s">
        <v>73</v>
      </c>
      <c r="D12" s="40" t="s">
        <v>32</v>
      </c>
      <c r="E12" s="34" t="s">
        <v>82</v>
      </c>
      <c r="F12" s="26" t="s">
        <v>33</v>
      </c>
      <c r="G12" s="111">
        <f>$R$4*G11</f>
        <v>833.97</v>
      </c>
      <c r="H12" s="112">
        <f>$R$4*H11</f>
        <v>861.76900000000001</v>
      </c>
      <c r="I12" s="112">
        <f>$R$5*I11</f>
        <v>576.63</v>
      </c>
      <c r="J12" s="112">
        <f t="shared" ref="J12:L12" si="2">$R$5*J11</f>
        <v>595.851</v>
      </c>
      <c r="K12" s="112">
        <f t="shared" si="2"/>
        <v>595.851</v>
      </c>
      <c r="L12" s="112">
        <f t="shared" si="2"/>
        <v>576.63</v>
      </c>
      <c r="M12" s="112">
        <f>$R$4*M11</f>
        <v>861.76900000000001</v>
      </c>
      <c r="N12" s="112">
        <f>$R$4*N11</f>
        <v>833.97</v>
      </c>
      <c r="O12" s="112">
        <f>$R$6*O11</f>
        <v>1161.6010000000001</v>
      </c>
      <c r="P12" s="112">
        <f t="shared" ref="P12:R12" si="3">$R$6*P11</f>
        <v>1161.6010000000001</v>
      </c>
      <c r="Q12" s="112">
        <f t="shared" si="3"/>
        <v>1049.1880000000001</v>
      </c>
      <c r="R12" s="113">
        <f t="shared" si="3"/>
        <v>1161.6010000000001</v>
      </c>
      <c r="S12" s="41">
        <f>ROUNDDOWN(G12+H12+I12+J12+K12+L12+M12+N12+O12+P12+Q12+R12,0)</f>
        <v>10270</v>
      </c>
    </row>
    <row r="13" spans="3:25" ht="15" customHeight="1">
      <c r="C13" s="82"/>
      <c r="D13" s="83"/>
      <c r="E13" s="84"/>
      <c r="F13" s="82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117"/>
    </row>
    <row r="14" spans="3:25" ht="15" customHeight="1">
      <c r="C14" s="4" t="s">
        <v>40</v>
      </c>
      <c r="D14" s="42"/>
      <c r="E14" s="8"/>
      <c r="F14" s="5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4"/>
    </row>
    <row r="15" spans="3:25" ht="15" customHeight="1">
      <c r="C15" s="24">
        <f>計算シート!B11</f>
        <v>0</v>
      </c>
      <c r="D15" s="42"/>
      <c r="S15" s="118"/>
    </row>
    <row r="16" spans="3:25" ht="15" customHeight="1">
      <c r="C16" s="29"/>
      <c r="D16" s="47"/>
      <c r="E16" s="48" t="s">
        <v>81</v>
      </c>
      <c r="F16" s="49" t="s">
        <v>16</v>
      </c>
      <c r="G16" s="50" t="s">
        <v>17</v>
      </c>
      <c r="H16" s="30" t="s">
        <v>18</v>
      </c>
      <c r="I16" s="30" t="s">
        <v>19</v>
      </c>
      <c r="J16" s="30" t="s">
        <v>20</v>
      </c>
      <c r="K16" s="30" t="s">
        <v>21</v>
      </c>
      <c r="L16" s="30" t="s">
        <v>22</v>
      </c>
      <c r="M16" s="30" t="s">
        <v>23</v>
      </c>
      <c r="N16" s="30" t="s">
        <v>24</v>
      </c>
      <c r="O16" s="30" t="s">
        <v>25</v>
      </c>
      <c r="P16" s="30" t="s">
        <v>26</v>
      </c>
      <c r="Q16" s="30" t="s">
        <v>27</v>
      </c>
      <c r="R16" s="51" t="s">
        <v>28</v>
      </c>
      <c r="S16" s="41" t="s">
        <v>88</v>
      </c>
    </row>
    <row r="17" spans="3:19" ht="15" customHeight="1">
      <c r="C17" s="52" t="s">
        <v>74</v>
      </c>
      <c r="D17" s="53" t="s">
        <v>70</v>
      </c>
      <c r="E17" s="54" t="s">
        <v>78</v>
      </c>
      <c r="F17" s="55" t="b">
        <f>IF(計算シート!$B$11=テーブル!C$3,"kWh",IF(計算シート!$B$11=テーブル!$C$4,"kWh",IF(計算シート!$B$11=テーブル!$C$5,"kWh",IF(計算シート!$B$11=テーブル!$C$6,"kWh",IF(計算シート!$B$11=テーブル!$C$7,"㎥",IF(計算シート!$B$11=テーブル!$C$8,"㎥",IF(計算シート!$B$11=テーブル!$C$9,"ℓ")))))))</f>
        <v>0</v>
      </c>
      <c r="G17" s="110" t="b">
        <f>IF(計算シート!$B$11=テーブル!$C$3,G12/$M$3/$G$7,IF(計算シート!$B$11=テーブル!$C$4,G12/$M$3/$G$7,IF(計算シート!$B$11=テーブル!$C$5,G12/$M$5/$G$7,IF(計算シート!$B$11=テーブル!$C$6,G12/$M$5/$G$7,IF(計算シート!$B$11=テーブル!$C$7,G12/$M$3/$G$5,IF(計算シート!$B$11=テーブル!$C$8,G12/$M$3/$G$6,IF(計算シート!$B$11=テーブル!$C$9,G12/$M$3/$G$4)))))))</f>
        <v>0</v>
      </c>
      <c r="H17" s="110" t="b">
        <f>IF(計算シート!$B$11=テーブル!$C$3,H12/$M$3/$G$7,IF(計算シート!$B$11=テーブル!$C$4,H12/$M$3/$G$7,IF(計算シート!$B$11=テーブル!$C$5,H12/$M$5/$G$7,IF(計算シート!$B$11=テーブル!$C$6,H12/$M$5/$G$7,IF(計算シート!$B$11=テーブル!$C$7,H12/$M$3/$G$5,IF(計算シート!$B$11=テーブル!$C$8,H12/$M$3/$G$6,IF(計算シート!$B$11=テーブル!$C$9,H12/$M$3/$G$4)))))))</f>
        <v>0</v>
      </c>
      <c r="I17" s="110" t="b">
        <f>IF(計算シート!$B$11=テーブル!$C$3,I12/$M$3/$G$7,IF(計算シート!$B$11=テーブル!$C$4,I12/$M$3/$G$7,IF(計算シート!$B$11=テーブル!$C$5,I12/$M$5/$G$7,IF(計算シート!$B$11=テーブル!$C$6,I12/$M$5/$G$7,IF(計算シート!$B$11=テーブル!$C$7,I12/$M$3/$G$5,IF(計算シート!$B$11=テーブル!$C$8,I12/$M$3/$G$6,IF(計算シート!$B$11=テーブル!$C$9,I12/$M$3/$G$4)))))))</f>
        <v>0</v>
      </c>
      <c r="J17" s="110" t="b">
        <f>IF(計算シート!$B$11=テーブル!$C$3,J12/$M$3/$G$7,IF(計算シート!$B$11=テーブル!$C$4,J12/$M$3/$G$7,IF(計算シート!$B$11=テーブル!$C$5,J12/$M$5/$G$7,IF(計算シート!$B$11=テーブル!$C$6,J12/$M$5/$G$7,IF(計算シート!$B$11=テーブル!$C$7,J12/$M$3/$G$5,IF(計算シート!$B$11=テーブル!$C$8,J12/$M$3/$G$6,IF(計算シート!$B$11=テーブル!$C$9,J12/$M$3/$G$4)))))))</f>
        <v>0</v>
      </c>
      <c r="K17" s="110" t="b">
        <f>IF(計算シート!$B$11=テーブル!$C$3,K12/$M$3/$G$7,IF(計算シート!$B$11=テーブル!$C$4,K12/$M$3/$G$7,IF(計算シート!$B$11=テーブル!$C$5,K12/$M$5/$G$7,IF(計算シート!$B$11=テーブル!$C$6,K12/$M$5/$G$7,IF(計算シート!$B$11=テーブル!$C$7,K12/$M$3/$G$5,IF(計算シート!$B$11=テーブル!$C$8,K12/$M$3/$G$6,IF(計算シート!$B$11=テーブル!$C$9,K12/$M$3/$G$4)))))))</f>
        <v>0</v>
      </c>
      <c r="L17" s="110" t="b">
        <f>IF(計算シート!$B$11=テーブル!$C$3,L12/$M$3/$G$7,IF(計算シート!$B$11=テーブル!$C$4,L12/$M$3/$G$7,IF(計算シート!$B$11=テーブル!$C$5,L12/$M$5/$G$7,IF(計算シート!$B$11=テーブル!$C$6,L12/$M$5/$G$7,IF(計算シート!$B$11=テーブル!$C$7,L12/$M$3/$G$5,IF(計算シート!$B$11=テーブル!$C$8,L12/$M$3/$G$6,IF(計算シート!$B$11=テーブル!$C$9,L12/$M$3/$G$4)))))))</f>
        <v>0</v>
      </c>
      <c r="M17" s="110" t="b">
        <f>IF(計算シート!$B$11=テーブル!$C$3,M12/$M$3/$G$7,IF(計算シート!$B$11=テーブル!$C$4,M12/$M$3/$G$7,IF(計算シート!$B$11=テーブル!$C$5,M12/$M$5/$G$7,IF(計算シート!$B$11=テーブル!$C$6,M12/$M$5/$G$7,IF(計算シート!$B$11=テーブル!$C$7,M12/$M$3/$G$5,IF(計算シート!$B$11=テーブル!$C$8,M12/$M$3/$G$6,IF(計算シート!$B$11=テーブル!$C$9,M12/$M$3/$G$4)))))))</f>
        <v>0</v>
      </c>
      <c r="N17" s="110" t="b">
        <f>IF(計算シート!$B$11=テーブル!$C$3,N12/$M$3/$G$7,IF(計算シート!$B$11=テーブル!$C$4,N12/$M$3/$G$7,IF(計算シート!$B$11=テーブル!$C$5,N12/$M$5/$G$7,IF(計算シート!$B$11=テーブル!$C$6,N12/$M$5/$G$7,IF(計算シート!$B$11=テーブル!$C$7,N12/$M$3/$G$5,IF(計算シート!$B$11=テーブル!$C$8,N12/$M$3/$G$6,IF(計算シート!$B$11=テーブル!$C$9,N12/$M$3/$G$4)))))))</f>
        <v>0</v>
      </c>
      <c r="O17" s="110" t="b">
        <f>IF(計算シート!$B$11=テーブル!$C$3,O12/$M$3/$G$7,IF(計算シート!$B$11=テーブル!$C$4,O12/$M$3/$G$7,IF(計算シート!$B$11=テーブル!$C$5,O12/$M$5/$G$7,IF(計算シート!$B$11=テーブル!$C$6,O12/$M$5/$G$7,IF(計算シート!$B$11=テーブル!$C$7,O12/$M$3/$G$5,IF(計算シート!$B$11=テーブル!$C$8,O12/$M$3/$G$6,IF(計算シート!$B$11=テーブル!$C$9,O12/$M$3/$G$4)))))))</f>
        <v>0</v>
      </c>
      <c r="P17" s="110" t="b">
        <f>IF(計算シート!$B$11=テーブル!$C$3,P12/$M$3/$G$7,IF(計算シート!$B$11=テーブル!$C$4,P12/$M$3/$G$7,IF(計算シート!$B$11=テーブル!$C$5,P12/$M$5/$G$7,IF(計算シート!$B$11=テーブル!$C$6,P12/$M$5/$G$7,IF(計算シート!$B$11=テーブル!$C$7,P12/$M$3/$G$5,IF(計算シート!$B$11=テーブル!$C$8,P12/$M$3/$G$6,IF(計算シート!$B$11=テーブル!$C$9,P12/$M$3/$G$4)))))))</f>
        <v>0</v>
      </c>
      <c r="Q17" s="110" t="b">
        <f>IF(計算シート!$B$11=テーブル!$C$3,Q12/$M$3/$G$7,IF(計算シート!$B$11=テーブル!$C$4,Q12/$M$3/$G$7,IF(計算シート!$B$11=テーブル!$C$5,Q12/$M$5/$G$7,IF(計算シート!$B$11=テーブル!$C$6,Q12/$M$5/$G$7,IF(計算シート!$B$11=テーブル!$C$7,Q12/$M$3/$G$5,IF(計算シート!$B$11=テーブル!$C$8,Q12/$M$3/$G$6,IF(計算シート!$B$11=テーブル!$C$9,Q12/$M$3/$G$4)))))))</f>
        <v>0</v>
      </c>
      <c r="R17" s="110" t="b">
        <f>IF(計算シート!$B$11=テーブル!$C$3,R12/$M$3/$G$7,IF(計算シート!$B$11=テーブル!$C$4,R12/$M$3/$G$7,IF(計算シート!$B$11=テーブル!$C$5,R12/$M$5/$G$7,IF(計算シート!$B$11=テーブル!$C$6,R12/$M$5/$G$7,IF(計算シート!$B$11=テーブル!$C$7,R12/$M$3/$G$5,IF(計算シート!$B$11=テーブル!$C$8,R12/$M$3/$G$6,IF(計算シート!$B$11=テーブル!$C$9,R12/$M$3/$G$4)))))))</f>
        <v>0</v>
      </c>
      <c r="S17" s="41">
        <f t="shared" ref="S17" si="4">ROUNDDOWN(G17+H17+I17+J17+K17+L17+M17+N17+O17+P17+Q17+R17,0)</f>
        <v>0</v>
      </c>
    </row>
    <row r="18" spans="3:19" ht="15" customHeight="1">
      <c r="C18" s="56" t="s">
        <v>75</v>
      </c>
      <c r="D18" s="57" t="s">
        <v>80</v>
      </c>
      <c r="E18" s="58" t="s">
        <v>79</v>
      </c>
      <c r="F18" s="59" t="s">
        <v>36</v>
      </c>
      <c r="G18" s="109" t="b">
        <f>IF(計算シート!$B$11=テーブル!$C$3,G17*$I$7,IF(計算シート!$B$11=テーブル!$C$4,G17*$I$7,IF(計算シート!$B$11=テーブル!$C$5,G17*$I$7,IF(計算シート!$B$11=テーブル!$C$6,G17*$I$7,IF(計算シート!$B$11=テーブル!$C$7,G17*$I$5,IF(計算シート!$B$11=テーブル!$C$8,G17*$I$6,IF(計算シート!$B$11=テーブル!$C$9,G17*$I$4)))))))</f>
        <v>0</v>
      </c>
      <c r="H18" s="109" t="b">
        <f>IF(計算シート!$B$11=テーブル!$C$3,H17*$I$7,IF(計算シート!$B$11=テーブル!$C$4,H17*$I$7,IF(計算シート!$B$11=テーブル!$C$5,H17*$I$7,IF(計算シート!$B$11=テーブル!$C$6,H17*$I$7,IF(計算シート!$B$11=テーブル!$C$7,H17*$I$5,IF(計算シート!$B$11=テーブル!$C$8,H17*$I$6,IF(計算シート!$B$11=テーブル!$C$9,H17*$I$4)))))))</f>
        <v>0</v>
      </c>
      <c r="I18" s="109" t="b">
        <f>IF(計算シート!$B$11=テーブル!$C$3,I17*$I$7,IF(計算シート!$B$11=テーブル!$C$4,I17*$I$7,IF(計算シート!$B$11=テーブル!$C$5,I17*$I$7,IF(計算シート!$B$11=テーブル!$C$6,I17*$I$7,IF(計算シート!$B$11=テーブル!$C$7,I17*$I$5,IF(計算シート!$B$11=テーブル!$C$8,I17*$I$6,IF(計算シート!$B$11=テーブル!$C$9,I17*$I$4)))))))</f>
        <v>0</v>
      </c>
      <c r="J18" s="109" t="b">
        <f>IF(計算シート!$B$11=テーブル!$C$3,J17*$I$7,IF(計算シート!$B$11=テーブル!$C$4,J17*$I$7,IF(計算シート!$B$11=テーブル!$C$5,J17*$I$7,IF(計算シート!$B$11=テーブル!$C$6,J17*$I$7,IF(計算シート!$B$11=テーブル!$C$7,J17*$I$5,IF(計算シート!$B$11=テーブル!$C$8,J17*$I$6,IF(計算シート!$B$11=テーブル!$C$9,J17*$I$4)))))))</f>
        <v>0</v>
      </c>
      <c r="K18" s="109" t="b">
        <f>IF(計算シート!$B$11=テーブル!$C$3,K17*$I$7,IF(計算シート!$B$11=テーブル!$C$4,K17*$I$7,IF(計算シート!$B$11=テーブル!$C$5,K17*$I$7,IF(計算シート!$B$11=テーブル!$C$6,K17*$I$7,IF(計算シート!$B$11=テーブル!$C$7,K17*$I$5,IF(計算シート!$B$11=テーブル!$C$8,K17*$I$6,IF(計算シート!$B$11=テーブル!$C$9,K17*$I$4)))))))</f>
        <v>0</v>
      </c>
      <c r="L18" s="109" t="b">
        <f>IF(計算シート!$B$11=テーブル!$C$3,L17*$I$7,IF(計算シート!$B$11=テーブル!$C$4,L17*$I$7,IF(計算シート!$B$11=テーブル!$C$5,L17*$I$7,IF(計算シート!$B$11=テーブル!$C$6,L17*$I$7,IF(計算シート!$B$11=テーブル!$C$7,L17*$I$5,IF(計算シート!$B$11=テーブル!$C$8,L17*$I$6,IF(計算シート!$B$11=テーブル!$C$9,L17*$I$4)))))))</f>
        <v>0</v>
      </c>
      <c r="M18" s="109" t="b">
        <f>IF(計算シート!$B$11=テーブル!$C$3,M17*$I$7,IF(計算シート!$B$11=テーブル!$C$4,M17*$I$7,IF(計算シート!$B$11=テーブル!$C$5,M17*$I$7,IF(計算シート!$B$11=テーブル!$C$6,M17*$I$7,IF(計算シート!$B$11=テーブル!$C$7,M17*$I$5,IF(計算シート!$B$11=テーブル!$C$8,M17*$I$6,IF(計算シート!$B$11=テーブル!$C$9,M17*$I$4)))))))</f>
        <v>0</v>
      </c>
      <c r="N18" s="109" t="b">
        <f>IF(計算シート!$B$11=テーブル!$C$3,N17*$I$7,IF(計算シート!$B$11=テーブル!$C$4,N17*$I$7,IF(計算シート!$B$11=テーブル!$C$5,N17*$I$7,IF(計算シート!$B$11=テーブル!$C$6,N17*$I$7,IF(計算シート!$B$11=テーブル!$C$7,N17*$I$5,IF(計算シート!$B$11=テーブル!$C$8,N17*$I$6,IF(計算シート!$B$11=テーブル!$C$9,N17*$I$4)))))))</f>
        <v>0</v>
      </c>
      <c r="O18" s="109" t="b">
        <f>IF(計算シート!$B$11=テーブル!$C$3,O17*$I$7,IF(計算シート!$B$11=テーブル!$C$4,O17*$I$7,IF(計算シート!$B$11=テーブル!$C$5,O17*$I$7,IF(計算シート!$B$11=テーブル!$C$6,O17*$I$7,IF(計算シート!$B$11=テーブル!$C$7,O17*$I$5,IF(計算シート!$B$11=テーブル!$C$8,O17*$I$6,IF(計算シート!$B$11=テーブル!$C$9,O17*$I$4)))))))</f>
        <v>0</v>
      </c>
      <c r="P18" s="109" t="b">
        <f>IF(計算シート!$B$11=テーブル!$C$3,P17*$I$7,IF(計算シート!$B$11=テーブル!$C$4,P17*$I$7,IF(計算シート!$B$11=テーブル!$C$5,P17*$I$7,IF(計算シート!$B$11=テーブル!$C$6,P17*$I$7,IF(計算シート!$B$11=テーブル!$C$7,P17*$I$5,IF(計算シート!$B$11=テーブル!$C$8,P17*$I$6,IF(計算シート!$B$11=テーブル!$C$9,P17*$I$4)))))))</f>
        <v>0</v>
      </c>
      <c r="Q18" s="109" t="b">
        <f>IF(計算シート!$B$11=テーブル!$C$3,Q17*$I$7,IF(計算シート!$B$11=テーブル!$C$4,Q17*$I$7,IF(計算シート!$B$11=テーブル!$C$5,Q17*$I$7,IF(計算シート!$B$11=テーブル!$C$6,Q17*$I$7,IF(計算シート!$B$11=テーブル!$C$7,Q17*$I$5,IF(計算シート!$B$11=テーブル!$C$8,Q17*$I$6,IF(計算シート!$B$11=テーブル!$C$9,Q17*$I$4)))))))</f>
        <v>0</v>
      </c>
      <c r="R18" s="109" t="b">
        <f>IF(計算シート!$B$11=テーブル!$C$3,R17*$I$7,IF(計算シート!$B$11=テーブル!$C$4,R17*$I$7,IF(計算シート!$B$11=テーブル!$C$5,R17*$I$7,IF(計算シート!$B$11=テーブル!$C$6,R17*$I$7,IF(計算シート!$B$11=テーブル!$C$7,R17*$I$5,IF(計算シート!$B$11=テーブル!$C$8,R17*$I$6,IF(計算シート!$B$11=テーブル!$C$9,R17*$I$4)))))))</f>
        <v>0</v>
      </c>
      <c r="S18" s="41">
        <f>ROUNDDOWN(G18+H18+I18+J18+K18+L18+M18+N18+O18+P18+Q18+R18,0)</f>
        <v>0</v>
      </c>
    </row>
    <row r="19" spans="3:19" ht="16.149999999999999" customHeight="1">
      <c r="S19" s="117"/>
    </row>
    <row r="20" spans="3:19" ht="16.149999999999999" customHeight="1">
      <c r="C20" s="4"/>
      <c r="S20" s="44"/>
    </row>
    <row r="21" spans="3:19" ht="16.149999999999999" customHeight="1">
      <c r="C21" s="4" t="s">
        <v>83</v>
      </c>
      <c r="S21" s="44"/>
    </row>
    <row r="22" spans="3:19" ht="16.149999999999999" customHeight="1">
      <c r="C22" s="24">
        <f>計算シート!D11</f>
        <v>0</v>
      </c>
      <c r="D22" s="42"/>
      <c r="S22" s="118"/>
    </row>
    <row r="23" spans="3:19" ht="16.149999999999999" customHeight="1">
      <c r="C23" s="26"/>
      <c r="D23" s="40"/>
      <c r="E23" s="28" t="s">
        <v>81</v>
      </c>
      <c r="F23" s="26" t="s">
        <v>16</v>
      </c>
      <c r="G23" s="29" t="s">
        <v>17</v>
      </c>
      <c r="H23" s="30" t="s">
        <v>18</v>
      </c>
      <c r="I23" s="30" t="s">
        <v>19</v>
      </c>
      <c r="J23" s="30" t="s">
        <v>20</v>
      </c>
      <c r="K23" s="30" t="s">
        <v>21</v>
      </c>
      <c r="L23" s="30" t="s">
        <v>22</v>
      </c>
      <c r="M23" s="30" t="s">
        <v>23</v>
      </c>
      <c r="N23" s="30" t="s">
        <v>24</v>
      </c>
      <c r="O23" s="30" t="s">
        <v>25</v>
      </c>
      <c r="P23" s="30" t="s">
        <v>26</v>
      </c>
      <c r="Q23" s="30" t="s">
        <v>27</v>
      </c>
      <c r="R23" s="31" t="s">
        <v>28</v>
      </c>
      <c r="S23" s="41" t="s">
        <v>88</v>
      </c>
    </row>
    <row r="24" spans="3:19" ht="16.149999999999999" customHeight="1">
      <c r="C24" s="45" t="s">
        <v>76</v>
      </c>
      <c r="D24" s="46" t="s">
        <v>34</v>
      </c>
      <c r="E24" s="54" t="s">
        <v>78</v>
      </c>
      <c r="F24" s="55" t="b">
        <f>IF(計算シート!$D$11=テーブル!C$3,"kWh",IF(計算シート!$D$11=テーブル!$C$4,"kWh",IF(計算シート!$D$11=テーブル!$C$5,"kWh",IF(計算シート!$D$11=テーブル!$C$6,"kWh",IF(計算シート!$D$11=テーブル!$C$7,"㎥",IF(計算シート!$D$11=テーブル!$C$8,"㎥",IF(計算シート!$D$11=テーブル!$C$9,"ℓ")))))))</f>
        <v>0</v>
      </c>
      <c r="G24" s="110" t="b">
        <f>IF(計算シート!$D$11=テーブル!$C$3,G12/$M$4/$G$7,IF(計算シート!$D$11=テーブル!$C$4,G12/$M$4/$G$7,IF(計算シート!$D$11=テーブル!$C$5,G12/$M$5/$G$7,IF(計算シート!$D$11=テーブル!$C$6,G12/$M$5/$G$7,IF(計算シート!$D$11=テーブル!$C$7,G12/$M$4/$G$5,IF(計算シート!$D$11=テーブル!$C$8,G12/$M$4/$G$6,IF(計算シート!$D$11=テーブル!$C$9,G12/$M$4/$G$4)))))))</f>
        <v>0</v>
      </c>
      <c r="H24" s="110" t="b">
        <f>IF(計算シート!$D$11=テーブル!$C$3,H12/$M$4/$G$7,IF(計算シート!$D$11=テーブル!$C$4,H12/$M$4/$G$7,IF(計算シート!$D$11=テーブル!$C$5,H12/$M$5/$G$7,IF(計算シート!$D$11=テーブル!$C$6,H12/$M$5/$G$7,IF(計算シート!$D$11=テーブル!$C$7,H12/$M$4/$G$5,IF(計算シート!$D$11=テーブル!$C$8,H12/$M$4/$G$6,IF(計算シート!$D$11=テーブル!$C$9,H12/$M$4/$G$4)))))))</f>
        <v>0</v>
      </c>
      <c r="I24" s="110" t="b">
        <f>IF(計算シート!$D$11=テーブル!$C$3,I12/$M$4/$G$7,IF(計算シート!$D$11=テーブル!$C$4,I12/$M$4/$G$7,IF(計算シート!$D$11=テーブル!$C$5,I12/$M$5/$G$7,IF(計算シート!$D$11=テーブル!$C$6,I12/$M$5/$G$7,IF(計算シート!$D$11=テーブル!$C$7,I12/$M$4/$G$5,IF(計算シート!$D$11=テーブル!$C$8,I12/$M$4/$G$6,IF(計算シート!$D$11=テーブル!$C$9,I12/$M$4/$G$4)))))))</f>
        <v>0</v>
      </c>
      <c r="J24" s="110" t="b">
        <f>IF(計算シート!$D$11=テーブル!$C$3,J12/$M$4/$G$7,IF(計算シート!$D$11=テーブル!$C$4,J12/$M$4/$G$7,IF(計算シート!$D$11=テーブル!$C$5,J12/$M$5/$G$7,IF(計算シート!$D$11=テーブル!$C$6,J12/$M$5/$G$7,IF(計算シート!$D$11=テーブル!$C$7,J12/$M$4/$G$5,IF(計算シート!$D$11=テーブル!$C$8,J12/$M$4/$G$6,IF(計算シート!$D$11=テーブル!$C$9,J12/$M$4/$G$4)))))))</f>
        <v>0</v>
      </c>
      <c r="K24" s="110" t="b">
        <f>IF(計算シート!$D$11=テーブル!$C$3,K12/$M$4/$G$7,IF(計算シート!$D$11=テーブル!$C$4,K12/$M$4/$G$7,IF(計算シート!$D$11=テーブル!$C$5,K12/$M$5/$G$7,IF(計算シート!$D$11=テーブル!$C$6,K12/$M$5/$G$7,IF(計算シート!$D$11=テーブル!$C$7,K12/$M$4/$G$5,IF(計算シート!$D$11=テーブル!$C$8,K12/$M$4/$G$6,IF(計算シート!$D$11=テーブル!$C$9,K12/$M$4/$G$4)))))))</f>
        <v>0</v>
      </c>
      <c r="L24" s="110" t="b">
        <f>IF(計算シート!$D$11=テーブル!$C$3,L12/$M$4/$G$7,IF(計算シート!$D$11=テーブル!$C$4,L12/$M$4/$G$7,IF(計算シート!$D$11=テーブル!$C$5,L12/$M$5/$G$7,IF(計算シート!$D$11=テーブル!$C$6,L12/$M$5/$G$7,IF(計算シート!$D$11=テーブル!$C$7,L12/$M$4/$G$5,IF(計算シート!$D$11=テーブル!$C$8,L12/$M$4/$G$6,IF(計算シート!$D$11=テーブル!$C$9,L12/$M$4/$G$4)))))))</f>
        <v>0</v>
      </c>
      <c r="M24" s="110" t="b">
        <f>IF(計算シート!$D$11=テーブル!$C$3,M12/$M$4/$G$7,IF(計算シート!$D$11=テーブル!$C$4,M12/$M$4/$G$7,IF(計算シート!$D$11=テーブル!$C$5,M12/$M$5/$G$7,IF(計算シート!$D$11=テーブル!$C$6,M12/$M$5/$G$7,IF(計算シート!$D$11=テーブル!$C$7,M12/$M$4/$G$5,IF(計算シート!$D$11=テーブル!$C$8,M12/$M$4/$G$6,IF(計算シート!$D$11=テーブル!$C$9,M12/$M$4/$G$4)))))))</f>
        <v>0</v>
      </c>
      <c r="N24" s="110" t="b">
        <f>IF(計算シート!$D$11=テーブル!$C$3,N12/$M$4/$G$7,IF(計算シート!$D$11=テーブル!$C$4,N12/$M$4/$G$7,IF(計算シート!$D$11=テーブル!$C$5,N12/$M$5/$G$7,IF(計算シート!$D$11=テーブル!$C$6,N12/$M$5/$G$7,IF(計算シート!$D$11=テーブル!$C$7,N12/$M$4/$G$5,IF(計算シート!$D$11=テーブル!$C$8,N12/$M$4/$G$6,IF(計算シート!$D$11=テーブル!$C$9,N12/$M$4/$G$4)))))))</f>
        <v>0</v>
      </c>
      <c r="O24" s="110" t="b">
        <f>IF(計算シート!$D$11=テーブル!$C$3,O12/$M$4/$G$7,IF(計算シート!$D$11=テーブル!$C$4,O12/$M$4/$G$7,IF(計算シート!$D$11=テーブル!$C$5,O12/$M$5/$G$7,IF(計算シート!$D$11=テーブル!$C$6,O12/$M$5/$G$7,IF(計算シート!$D$11=テーブル!$C$7,O12/$M$4/$G$5,IF(計算シート!$D$11=テーブル!$C$8,O12/$M$4/$G$6,IF(計算シート!$D$11=テーブル!$C$9,O12/$M$4/$G$4)))))))</f>
        <v>0</v>
      </c>
      <c r="P24" s="110" t="b">
        <f>IF(計算シート!$D$11=テーブル!$C$3,P12/$M$4/$G$7,IF(計算シート!$D$11=テーブル!$C$4,P12/$M$4/$G$7,IF(計算シート!$D$11=テーブル!$C$5,P12/$M$5/$G$7,IF(計算シート!$D$11=テーブル!$C$6,P12/$M$5/$G$7,IF(計算シート!$D$11=テーブル!$C$7,P12/$M$4/$G$5,IF(計算シート!$D$11=テーブル!$C$8,P12/$M$4/$G$6,IF(計算シート!$D$11=テーブル!$C$9,P12/$M$4/$G$4)))))))</f>
        <v>0</v>
      </c>
      <c r="Q24" s="110" t="b">
        <f>IF(計算シート!$D$11=テーブル!$C$3,Q12/$M$4/$G$7,IF(計算シート!$D$11=テーブル!$C$4,Q12/$M$4/$G$7,IF(計算シート!$D$11=テーブル!$C$5,Q12/$M$5/$G$7,IF(計算シート!$D$11=テーブル!$C$6,Q12/$M$5/$G$7,IF(計算シート!$D$11=テーブル!$C$7,Q12/$M$4/$G$5,IF(計算シート!$D$11=テーブル!$C$8,Q12/$M$4/$G$6,IF(計算シート!$D$11=テーブル!$C$9,Q12/$M$4/$G$4)))))))</f>
        <v>0</v>
      </c>
      <c r="R24" s="110" t="b">
        <f>IF(計算シート!$D$11=テーブル!$C$3,R12/$M$4/$G$7,IF(計算シート!$D$11=テーブル!$C$4,R12/$M$4/$G$7,IF(計算シート!$D$11=テーブル!$C$5,R12/$M$5/$G$7,IF(計算シート!$D$11=テーブル!$C$6,R12/$M$5/$G$7,IF(計算シート!$D$11=テーブル!$C$7,R12/$M$4/$G$5,IF(計算シート!$D$11=テーブル!$C$8,R12/$M$4/$G$6,IF(計算シート!$D$11=テーブル!$C$9,R12/$M$4/$G$4)))))))</f>
        <v>0</v>
      </c>
      <c r="S24" s="41">
        <f t="shared" ref="S24:S25" si="5">ROUNDDOWN(G24+H24+I24+J24+K24+L24+M24+N24+O24+P24+Q24+R24,0)</f>
        <v>0</v>
      </c>
    </row>
    <row r="25" spans="3:19" ht="16.149999999999999" customHeight="1">
      <c r="C25" s="100" t="s">
        <v>77</v>
      </c>
      <c r="D25" s="101" t="s">
        <v>35</v>
      </c>
      <c r="E25" s="58" t="s">
        <v>79</v>
      </c>
      <c r="F25" s="59" t="s">
        <v>36</v>
      </c>
      <c r="G25" s="109" t="b">
        <f>IF(計算シート!$D$11=テーブル!$C$3,G24*$I$7,IF(計算シート!$D$11=テーブル!$C$4,G24*$I$7,IF(計算シート!$D$11=テーブル!$C$5,G24*$I$7,IF(計算シート!$D$11=テーブル!$C$6,G24*$I$7,IF(計算シート!$D$11=テーブル!$C$7,G24*$I$5,IF(計算シート!$D$11=テーブル!$C$8,G24*$I$6,IF(計算シート!$D$11=テーブル!$C$9,G24*$I$4)))))))</f>
        <v>0</v>
      </c>
      <c r="H25" s="109" t="b">
        <f>IF(計算シート!$D$11=テーブル!$C$3,H24*$I$7,IF(計算シート!$D$11=テーブル!$C$4,H24*$I$7,IF(計算シート!$D$11=テーブル!$C$5,H24*$I$7,IF(計算シート!$D$11=テーブル!$C$6,H24*$I$7,IF(計算シート!$D$11=テーブル!$C$7,H24*$I$5,IF(計算シート!$D$11=テーブル!$C$8,H24*$I$6,IF(計算シート!$D$11=テーブル!$C$9,H24*$I$4)))))))</f>
        <v>0</v>
      </c>
      <c r="I25" s="109" t="b">
        <f>IF(計算シート!$D$11=テーブル!$C$3,I24*$I$7,IF(計算シート!$D$11=テーブル!$C$4,I24*$I$7,IF(計算シート!$D$11=テーブル!$C$5,I24*$I$7,IF(計算シート!$D$11=テーブル!$C$6,I24*$I$7,IF(計算シート!$D$11=テーブル!$C$7,I24*$I$5,IF(計算シート!$D$11=テーブル!$C$8,I24*$I$6,IF(計算シート!$D$11=テーブル!$C$9,I24*$I$4)))))))</f>
        <v>0</v>
      </c>
      <c r="J25" s="109" t="b">
        <f>IF(計算シート!$D$11=テーブル!$C$3,J24*$I$7,IF(計算シート!$D$11=テーブル!$C$4,J24*$I$7,IF(計算シート!$D$11=テーブル!$C$5,J24*$I$7,IF(計算シート!$D$11=テーブル!$C$6,J24*$I$7,IF(計算シート!$D$11=テーブル!$C$7,J24*$I$5,IF(計算シート!$D$11=テーブル!$C$8,J24*$I$6,IF(計算シート!$D$11=テーブル!$C$9,J24*$I$4)))))))</f>
        <v>0</v>
      </c>
      <c r="K25" s="109" t="b">
        <f>IF(計算シート!$D$11=テーブル!$C$3,K24*$I$7,IF(計算シート!$D$11=テーブル!$C$4,K24*$I$7,IF(計算シート!$D$11=テーブル!$C$5,K24*$I$7,IF(計算シート!$D$11=テーブル!$C$6,K24*$I$7,IF(計算シート!$D$11=テーブル!$C$7,K24*$I$5,IF(計算シート!$D$11=テーブル!$C$8,K24*$I$6,IF(計算シート!$D$11=テーブル!$C$9,K24*$I$4)))))))</f>
        <v>0</v>
      </c>
      <c r="L25" s="109" t="b">
        <f>IF(計算シート!$D$11=テーブル!$C$3,L24*$I$7,IF(計算シート!$D$11=テーブル!$C$4,L24*$I$7,IF(計算シート!$D$11=テーブル!$C$5,L24*$I$7,IF(計算シート!$D$11=テーブル!$C$6,L24*$I$7,IF(計算シート!$D$11=テーブル!$C$7,L24*$I$5,IF(計算シート!$D$11=テーブル!$C$8,L24*$I$6,IF(計算シート!$D$11=テーブル!$C$9,L24*$I$4)))))))</f>
        <v>0</v>
      </c>
      <c r="M25" s="109" t="b">
        <f>IF(計算シート!$D$11=テーブル!$C$3,M24*$I$7,IF(計算シート!$D$11=テーブル!$C$4,M24*$I$7,IF(計算シート!$D$11=テーブル!$C$5,M24*$I$7,IF(計算シート!$D$11=テーブル!$C$6,M24*$I$7,IF(計算シート!$D$11=テーブル!$C$7,M24*$I$5,IF(計算シート!$D$11=テーブル!$C$8,M24*$I$6,IF(計算シート!$D$11=テーブル!$C$9,M24*$I$4)))))))</f>
        <v>0</v>
      </c>
      <c r="N25" s="109" t="b">
        <f>IF(計算シート!$D$11=テーブル!$C$3,N24*$I$7,IF(計算シート!$D$11=テーブル!$C$4,N24*$I$7,IF(計算シート!$D$11=テーブル!$C$5,N24*$I$7,IF(計算シート!$D$11=テーブル!$C$6,N24*$I$7,IF(計算シート!$D$11=テーブル!$C$7,N24*$I$5,IF(計算シート!$D$11=テーブル!$C$8,N24*$I$6,IF(計算シート!$D$11=テーブル!$C$9,N24*$I$4)))))))</f>
        <v>0</v>
      </c>
      <c r="O25" s="109" t="b">
        <f>IF(計算シート!$D$11=テーブル!$C$3,O24*$I$7,IF(計算シート!$D$11=テーブル!$C$4,O24*$I$7,IF(計算シート!$D$11=テーブル!$C$5,O24*$I$7,IF(計算シート!$D$11=テーブル!$C$6,O24*$I$7,IF(計算シート!$D$11=テーブル!$C$7,O24*$I$5,IF(計算シート!$D$11=テーブル!$C$8,O24*$I$6,IF(計算シート!$D$11=テーブル!$C$9,O24*$I$4)))))))</f>
        <v>0</v>
      </c>
      <c r="P25" s="109" t="b">
        <f>IF(計算シート!$D$11=テーブル!$C$3,P24*$I$7,IF(計算シート!$D$11=テーブル!$C$4,P24*$I$7,IF(計算シート!$D$11=テーブル!$C$5,P24*$I$7,IF(計算シート!$D$11=テーブル!$C$6,P24*$I$7,IF(計算シート!$D$11=テーブル!$C$7,P24*$I$5,IF(計算シート!$D$11=テーブル!$C$8,P24*$I$6,IF(計算シート!$D$11=テーブル!$C$9,P24*$I$4)))))))</f>
        <v>0</v>
      </c>
      <c r="Q25" s="109" t="b">
        <f>IF(計算シート!$D$11=テーブル!$C$3,Q24*$I$7,IF(計算シート!$D$11=テーブル!$C$4,Q24*$I$7,IF(計算シート!$D$11=テーブル!$C$5,Q24*$I$7,IF(計算シート!$D$11=テーブル!$C$6,Q24*$I$7,IF(計算シート!$D$11=テーブル!$C$7,Q24*$I$5,IF(計算シート!$D$11=テーブル!$C$8,Q24*$I$6,IF(計算シート!$D$11=テーブル!$C$9,Q24*$I$4)))))))</f>
        <v>0</v>
      </c>
      <c r="R25" s="109" t="b">
        <f>IF(計算シート!$D$11=テーブル!$C$3,R24*$I$7,IF(計算シート!$D$11=テーブル!$C$4,R24*$I$7,IF(計算シート!$D$11=テーブル!$C$5,R24*$I$7,IF(計算シート!$D$11=テーブル!$C$6,R24*$I$7,IF(計算シート!$D$11=テーブル!$C$7,R24*$I$5,IF(計算シート!$D$11=テーブル!$C$8,R24*$I$6,IF(計算シート!$D$11=テーブル!$C$9,R24*$I$4)))))))</f>
        <v>0</v>
      </c>
      <c r="S25" s="41">
        <f t="shared" si="5"/>
        <v>0</v>
      </c>
    </row>
    <row r="28" spans="3:19" ht="16.149999999999999" customHeight="1">
      <c r="C28" s="5" t="s">
        <v>94</v>
      </c>
    </row>
    <row r="29" spans="3:19" ht="16.149999999999999" customHeight="1">
      <c r="C29" s="120"/>
      <c r="D29" s="95"/>
      <c r="E29" s="124" t="s">
        <v>95</v>
      </c>
      <c r="F29" s="120" t="s">
        <v>93</v>
      </c>
      <c r="G29" s="120" t="s">
        <v>96</v>
      </c>
      <c r="H29" s="120" t="s">
        <v>97</v>
      </c>
      <c r="I29" s="120" t="s">
        <v>19</v>
      </c>
      <c r="J29" s="120" t="s">
        <v>20</v>
      </c>
      <c r="K29" s="120" t="s">
        <v>21</v>
      </c>
      <c r="L29" s="120" t="s">
        <v>22</v>
      </c>
      <c r="M29" s="120" t="s">
        <v>23</v>
      </c>
      <c r="N29" s="120" t="s">
        <v>24</v>
      </c>
      <c r="O29" s="120" t="s">
        <v>25</v>
      </c>
      <c r="P29" s="120" t="s">
        <v>26</v>
      </c>
      <c r="Q29" s="120" t="s">
        <v>27</v>
      </c>
      <c r="R29" s="120" t="s">
        <v>28</v>
      </c>
      <c r="S29" s="95" t="s">
        <v>108</v>
      </c>
    </row>
    <row r="30" spans="3:19" ht="16.149999999999999" customHeight="1">
      <c r="C30" s="120" t="s">
        <v>98</v>
      </c>
      <c r="D30" s="125" t="s">
        <v>100</v>
      </c>
      <c r="E30" s="125" t="s">
        <v>92</v>
      </c>
      <c r="F30" s="120" t="s">
        <v>103</v>
      </c>
      <c r="G30" s="126">
        <f>$P$4*G11/0.821/$G$6</f>
        <v>22.573284612261471</v>
      </c>
      <c r="H30" s="126">
        <f>$P$4*H11/0.821/$G$6</f>
        <v>23.325727432670188</v>
      </c>
      <c r="I30" s="126">
        <f>$P$5*I11/0.821/$G$6</f>
        <v>15.607795371498174</v>
      </c>
      <c r="J30" s="126">
        <f>$P$5*J11/0.821/$G$6</f>
        <v>16.128055217214779</v>
      </c>
      <c r="K30" s="126">
        <f>$P$5*K11/0.821/$G$6</f>
        <v>16.128055217214779</v>
      </c>
      <c r="L30" s="126">
        <f>$P$5*L11/0.821/$G$6</f>
        <v>15.607795371498174</v>
      </c>
      <c r="M30" s="126">
        <f>$P$4*M11/0.821/$G$6</f>
        <v>23.325727432670188</v>
      </c>
      <c r="N30" s="126">
        <f>$P$4*N11/0.821/$G$6</f>
        <v>22.573284612261471</v>
      </c>
      <c r="O30" s="126">
        <f>$P$6*O11/0.821/$G$6</f>
        <v>31.441358776559753</v>
      </c>
      <c r="P30" s="126">
        <f>$P$6*P11/0.821/$G$6</f>
        <v>31.441358776559753</v>
      </c>
      <c r="Q30" s="126">
        <f>$P$6*Q11/0.821/$G$6</f>
        <v>28.398646636892682</v>
      </c>
      <c r="R30" s="126">
        <f>$P$6*R11/0.821/$G$6</f>
        <v>31.441358776559753</v>
      </c>
      <c r="S30" s="127">
        <f t="shared" ref="S30:S32" si="6">ROUNDDOWN(G30+H30+I30+J30+K30+L30+M30+N30+O30+P30+Q30+R30,0)</f>
        <v>277</v>
      </c>
    </row>
    <row r="31" spans="3:19" ht="16.149999999999999" customHeight="1">
      <c r="C31" s="120" t="s">
        <v>102</v>
      </c>
      <c r="D31" s="125" t="s">
        <v>104</v>
      </c>
      <c r="E31" s="125" t="s">
        <v>105</v>
      </c>
      <c r="F31" s="120" t="s">
        <v>36</v>
      </c>
      <c r="G31" s="126">
        <f>G30*$I$6</f>
        <v>47.178164839626469</v>
      </c>
      <c r="H31" s="126">
        <f t="shared" ref="H31:Q31" si="7">H30*$I$6</f>
        <v>48.750770334280688</v>
      </c>
      <c r="I31" s="126">
        <f t="shared" si="7"/>
        <v>32.620292326431183</v>
      </c>
      <c r="J31" s="126">
        <f t="shared" si="7"/>
        <v>33.707635403978884</v>
      </c>
      <c r="K31" s="126">
        <f t="shared" si="7"/>
        <v>33.707635403978884</v>
      </c>
      <c r="L31" s="126">
        <f t="shared" si="7"/>
        <v>32.620292326431183</v>
      </c>
      <c r="M31" s="126">
        <f t="shared" si="7"/>
        <v>48.750770334280688</v>
      </c>
      <c r="N31" s="126">
        <f t="shared" si="7"/>
        <v>47.178164839626469</v>
      </c>
      <c r="O31" s="126">
        <f>O30*$I$6</f>
        <v>65.712439843009875</v>
      </c>
      <c r="P31" s="126">
        <f t="shared" si="7"/>
        <v>65.712439843009875</v>
      </c>
      <c r="Q31" s="126">
        <f t="shared" si="7"/>
        <v>59.353171471105703</v>
      </c>
      <c r="R31" s="126">
        <f>R30*$I$6</f>
        <v>65.712439843009875</v>
      </c>
      <c r="S31" s="128">
        <f t="shared" si="6"/>
        <v>581</v>
      </c>
    </row>
    <row r="32" spans="3:19" ht="16.149999999999999" customHeight="1">
      <c r="C32" s="120" t="s">
        <v>99</v>
      </c>
      <c r="D32" s="125" t="s">
        <v>101</v>
      </c>
      <c r="E32" s="125" t="s">
        <v>92</v>
      </c>
      <c r="F32" s="120" t="s">
        <v>103</v>
      </c>
      <c r="G32" s="126">
        <f>$Q$4*G11/0.821/$G$6</f>
        <v>37.801867641088101</v>
      </c>
      <c r="H32" s="126">
        <f>$Q$4*H11/0.821/$G$6</f>
        <v>39.061929895791046</v>
      </c>
      <c r="I32" s="126">
        <f>$Q$5*I11/0.821/$G$6</f>
        <v>26.068209500609015</v>
      </c>
      <c r="J32" s="126">
        <f>$Q$5*J11/0.821/$G$6</f>
        <v>26.937149817295985</v>
      </c>
      <c r="K32" s="126">
        <f>$Q$5*K11/0.821/$G$6</f>
        <v>26.937149817295985</v>
      </c>
      <c r="L32" s="126">
        <f>$Q$5*L11/0.821/$G$6</f>
        <v>26.068209500609015</v>
      </c>
      <c r="M32" s="126">
        <f>$Q$4*M11/0.821/$G$6</f>
        <v>39.061929895791046</v>
      </c>
      <c r="N32" s="126">
        <f>$Q$4*N11/0.821/$G$6</f>
        <v>37.801867641088101</v>
      </c>
      <c r="O32" s="126">
        <f>$Q$6*O11/0.821/$G$6</f>
        <v>52.622384625795107</v>
      </c>
      <c r="P32" s="126">
        <f>$Q$6*P11/0.821/$G$6</f>
        <v>52.622384625795107</v>
      </c>
      <c r="Q32" s="126">
        <f>$Q$6*Q11/0.821/$G$6</f>
        <v>47.529895791040744</v>
      </c>
      <c r="R32" s="126">
        <f>$Q$6*R11/0.821/$G$6</f>
        <v>52.622384625795107</v>
      </c>
      <c r="S32" s="127">
        <f t="shared" si="6"/>
        <v>465</v>
      </c>
    </row>
    <row r="33" spans="3:19" ht="16.149999999999999" customHeight="1">
      <c r="C33" s="120" t="s">
        <v>106</v>
      </c>
      <c r="D33" s="125" t="s">
        <v>107</v>
      </c>
      <c r="E33" s="125" t="s">
        <v>105</v>
      </c>
      <c r="F33" s="120" t="s">
        <v>130</v>
      </c>
      <c r="G33" s="126">
        <f>G32*$I$6</f>
        <v>79.005903369874133</v>
      </c>
      <c r="H33" s="126">
        <f t="shared" ref="H33" si="8">H32*$I$6</f>
        <v>81.639433482203287</v>
      </c>
      <c r="I33" s="126">
        <f t="shared" ref="I33" si="9">I32*$I$6</f>
        <v>54.482557856272841</v>
      </c>
      <c r="J33" s="126">
        <f t="shared" ref="J33" si="10">J32*$I$6</f>
        <v>56.298643118148604</v>
      </c>
      <c r="K33" s="126">
        <f t="shared" ref="K33" si="11">K32*$I$6</f>
        <v>56.298643118148604</v>
      </c>
      <c r="L33" s="126">
        <f t="shared" ref="L33" si="12">L32*$I$6</f>
        <v>54.482557856272841</v>
      </c>
      <c r="M33" s="126">
        <f t="shared" ref="M33" si="13">M32*$I$6</f>
        <v>81.639433482203287</v>
      </c>
      <c r="N33" s="126">
        <f t="shared" ref="N33" si="14">N32*$I$6</f>
        <v>79.005903369874133</v>
      </c>
      <c r="O33" s="126">
        <f t="shared" ref="O33" si="15">O32*$I$6</f>
        <v>109.98078386791177</v>
      </c>
      <c r="P33" s="126">
        <f t="shared" ref="P33" si="16">P32*$I$6</f>
        <v>109.98078386791177</v>
      </c>
      <c r="Q33" s="126">
        <f t="shared" ref="Q33" si="17">Q32*$I$6</f>
        <v>99.337482203275144</v>
      </c>
      <c r="R33" s="126">
        <f t="shared" ref="R33" si="18">R32*$I$6</f>
        <v>109.98078386791177</v>
      </c>
      <c r="S33" s="128">
        <f>ROUNDDOWN(G33+H33+I33+J33+K33+L33+M33+N33+O33+P33+Q33+R33,0)</f>
        <v>972</v>
      </c>
    </row>
    <row r="36" spans="3:19" ht="16.149999999999999" customHeight="1">
      <c r="C36" s="4" t="s">
        <v>132</v>
      </c>
      <c r="S36" s="44"/>
    </row>
    <row r="37" spans="3:19" ht="16.149999999999999" customHeight="1">
      <c r="C37" s="24" t="s">
        <v>131</v>
      </c>
      <c r="D37" s="42"/>
      <c r="S37" s="118"/>
    </row>
    <row r="38" spans="3:19" ht="16.149999999999999" customHeight="1">
      <c r="C38" s="26"/>
      <c r="D38" s="40"/>
      <c r="E38" s="28" t="s">
        <v>81</v>
      </c>
      <c r="F38" s="26" t="s">
        <v>16</v>
      </c>
      <c r="G38" s="29" t="s">
        <v>17</v>
      </c>
      <c r="H38" s="30" t="s">
        <v>18</v>
      </c>
      <c r="I38" s="30" t="s">
        <v>19</v>
      </c>
      <c r="J38" s="30" t="s">
        <v>20</v>
      </c>
      <c r="K38" s="30" t="s">
        <v>21</v>
      </c>
      <c r="L38" s="30" t="s">
        <v>22</v>
      </c>
      <c r="M38" s="30" t="s">
        <v>23</v>
      </c>
      <c r="N38" s="30" t="s">
        <v>24</v>
      </c>
      <c r="O38" s="30" t="s">
        <v>25</v>
      </c>
      <c r="P38" s="30" t="s">
        <v>26</v>
      </c>
      <c r="Q38" s="30" t="s">
        <v>27</v>
      </c>
      <c r="R38" s="31" t="s">
        <v>28</v>
      </c>
      <c r="S38" s="41" t="s">
        <v>88</v>
      </c>
    </row>
    <row r="39" spans="3:19" ht="16.149999999999999" customHeight="1">
      <c r="C39" s="45" t="s">
        <v>76</v>
      </c>
      <c r="D39" s="46" t="s">
        <v>34</v>
      </c>
      <c r="E39" s="54" t="s">
        <v>78</v>
      </c>
      <c r="F39" s="55" t="b">
        <f>IF(計算シート!$D$11=テーブル!C$3,"kWh",IF(計算シート!$D$11=テーブル!$C$4,"kWh",IF(計算シート!$D$11=テーブル!$C$5,"kWh",IF(計算シート!$D$11=テーブル!$C$6,"kWh",IF(計算シート!$D$11=テーブル!$C$7,"㎥",IF(計算シート!$D$11=テーブル!$C$8,"㎥",IF(計算シート!$D$11=テーブル!$C$9,"ℓ")))))))</f>
        <v>0</v>
      </c>
      <c r="G39" s="110" t="e">
        <f>$P$4*G11/$M$4/$G$7</f>
        <v>#DIV/0!</v>
      </c>
      <c r="H39" s="110" t="e">
        <f>$P$4*H11/$M$4/$G$7</f>
        <v>#DIV/0!</v>
      </c>
      <c r="I39" s="110" t="e">
        <f>$P$5*I11/$M$4/$G$7</f>
        <v>#DIV/0!</v>
      </c>
      <c r="J39" s="110" t="e">
        <f t="shared" ref="J39:L39" si="19">$P$5*J11/$M$4/$G$7</f>
        <v>#DIV/0!</v>
      </c>
      <c r="K39" s="110" t="e">
        <f t="shared" si="19"/>
        <v>#DIV/0!</v>
      </c>
      <c r="L39" s="110" t="e">
        <f t="shared" si="19"/>
        <v>#DIV/0!</v>
      </c>
      <c r="M39" s="110" t="e">
        <f>$P$4*M11/$M$4/$G$7</f>
        <v>#DIV/0!</v>
      </c>
      <c r="N39" s="110" t="e">
        <f>$P$4*N11/$M$4/$G$7</f>
        <v>#DIV/0!</v>
      </c>
      <c r="O39" s="110" t="e">
        <f>$P$6*O11/$M$4/$G$7</f>
        <v>#DIV/0!</v>
      </c>
      <c r="P39" s="110" t="e">
        <f t="shared" ref="P39:R39" si="20">$P$6*P11/$M$4/$G$7</f>
        <v>#DIV/0!</v>
      </c>
      <c r="Q39" s="110" t="e">
        <f t="shared" si="20"/>
        <v>#DIV/0!</v>
      </c>
      <c r="R39" s="110" t="e">
        <f t="shared" si="20"/>
        <v>#DIV/0!</v>
      </c>
      <c r="S39" s="41" t="e">
        <f t="shared" ref="S39:S40" si="21">ROUNDDOWN(G39+H39+I39+J39+K39+L39+M39+N39+O39+P39+Q39+R39,0)</f>
        <v>#DIV/0!</v>
      </c>
    </row>
    <row r="40" spans="3:19" ht="16.149999999999999" customHeight="1">
      <c r="C40" s="100" t="s">
        <v>77</v>
      </c>
      <c r="D40" s="101" t="s">
        <v>35</v>
      </c>
      <c r="E40" s="58" t="s">
        <v>79</v>
      </c>
      <c r="F40" s="59" t="s">
        <v>36</v>
      </c>
      <c r="G40" s="150" t="e">
        <f>G39*$I$7</f>
        <v>#DIV/0!</v>
      </c>
      <c r="H40" s="150" t="e">
        <f t="shared" ref="H40:R40" si="22">H39*$I$7</f>
        <v>#DIV/0!</v>
      </c>
      <c r="I40" s="150" t="e">
        <f t="shared" si="22"/>
        <v>#DIV/0!</v>
      </c>
      <c r="J40" s="150" t="e">
        <f t="shared" si="22"/>
        <v>#DIV/0!</v>
      </c>
      <c r="K40" s="150" t="e">
        <f t="shared" si="22"/>
        <v>#DIV/0!</v>
      </c>
      <c r="L40" s="150" t="e">
        <f>L39*$I$7</f>
        <v>#DIV/0!</v>
      </c>
      <c r="M40" s="150" t="e">
        <f t="shared" si="22"/>
        <v>#DIV/0!</v>
      </c>
      <c r="N40" s="150" t="e">
        <f t="shared" si="22"/>
        <v>#DIV/0!</v>
      </c>
      <c r="O40" s="150" t="e">
        <f t="shared" si="22"/>
        <v>#DIV/0!</v>
      </c>
      <c r="P40" s="150" t="e">
        <f t="shared" si="22"/>
        <v>#DIV/0!</v>
      </c>
      <c r="Q40" s="150" t="e">
        <f t="shared" si="22"/>
        <v>#DIV/0!</v>
      </c>
      <c r="R40" s="150" t="e">
        <f t="shared" si="22"/>
        <v>#DIV/0!</v>
      </c>
      <c r="S40" s="151" t="e">
        <f t="shared" si="21"/>
        <v>#DIV/0!</v>
      </c>
    </row>
    <row r="42" spans="3:19" ht="16.149999999999999" customHeight="1">
      <c r="C42" s="4" t="s">
        <v>133</v>
      </c>
      <c r="S42" s="44"/>
    </row>
    <row r="43" spans="3:19" ht="16.149999999999999" customHeight="1">
      <c r="C43" s="24" t="s">
        <v>131</v>
      </c>
      <c r="D43" s="42"/>
      <c r="S43" s="118"/>
    </row>
    <row r="44" spans="3:19" ht="16.149999999999999" customHeight="1">
      <c r="C44" s="26"/>
      <c r="D44" s="40"/>
      <c r="E44" s="28" t="s">
        <v>81</v>
      </c>
      <c r="F44" s="26" t="s">
        <v>16</v>
      </c>
      <c r="G44" s="29" t="s">
        <v>17</v>
      </c>
      <c r="H44" s="30" t="s">
        <v>18</v>
      </c>
      <c r="I44" s="30" t="s">
        <v>19</v>
      </c>
      <c r="J44" s="30" t="s">
        <v>20</v>
      </c>
      <c r="K44" s="30" t="s">
        <v>21</v>
      </c>
      <c r="L44" s="30" t="s">
        <v>22</v>
      </c>
      <c r="M44" s="30" t="s">
        <v>23</v>
      </c>
      <c r="N44" s="30" t="s">
        <v>24</v>
      </c>
      <c r="O44" s="30" t="s">
        <v>25</v>
      </c>
      <c r="P44" s="30" t="s">
        <v>26</v>
      </c>
      <c r="Q44" s="30" t="s">
        <v>27</v>
      </c>
      <c r="R44" s="31" t="s">
        <v>28</v>
      </c>
      <c r="S44" s="41" t="s">
        <v>88</v>
      </c>
    </row>
    <row r="45" spans="3:19" ht="16.149999999999999" customHeight="1">
      <c r="C45" s="45" t="s">
        <v>76</v>
      </c>
      <c r="D45" s="46" t="s">
        <v>34</v>
      </c>
      <c r="E45" s="54" t="s">
        <v>78</v>
      </c>
      <c r="F45" s="55" t="b">
        <f>IF(計算シート!$D$11=テーブル!C$3,"kWh",IF(計算シート!$D$11=テーブル!$C$4,"kWh",IF(計算シート!$D$11=テーブル!$C$5,"kWh",IF(計算シート!$D$11=テーブル!$C$6,"kWh",IF(計算シート!$D$11=テーブル!$C$7,"㎥",IF(計算シート!$D$11=テーブル!$C$8,"㎥",IF(計算シート!$D$11=テーブル!$C$9,"ℓ")))))))</f>
        <v>0</v>
      </c>
      <c r="G45" s="110" t="e">
        <f>$Q$4*G11/$M$4/$G$7</f>
        <v>#DIV/0!</v>
      </c>
      <c r="H45" s="110" t="e">
        <f>$Q$4*H11/$M$4/$G$7</f>
        <v>#DIV/0!</v>
      </c>
      <c r="I45" s="110" t="e">
        <f>$Q$5*I11/$M$4/$G$7</f>
        <v>#DIV/0!</v>
      </c>
      <c r="J45" s="110" t="e">
        <f t="shared" ref="J45:L45" si="23">$Q$5*J11/$M$4/$G$7</f>
        <v>#DIV/0!</v>
      </c>
      <c r="K45" s="110" t="e">
        <f t="shared" si="23"/>
        <v>#DIV/0!</v>
      </c>
      <c r="L45" s="110" t="e">
        <f t="shared" si="23"/>
        <v>#DIV/0!</v>
      </c>
      <c r="M45" s="110" t="e">
        <f>$Q$4*M11/$M$4/$G$7</f>
        <v>#DIV/0!</v>
      </c>
      <c r="N45" s="110" t="e">
        <f>$Q$4*N11/$M$4/$G$7</f>
        <v>#DIV/0!</v>
      </c>
      <c r="O45" s="110" t="e">
        <f>$Q$6*O11/$M$4/$G$7</f>
        <v>#DIV/0!</v>
      </c>
      <c r="P45" s="110" t="e">
        <f t="shared" ref="P45:R45" si="24">$Q$6*P11/$M$4/$G$7</f>
        <v>#DIV/0!</v>
      </c>
      <c r="Q45" s="110" t="e">
        <f t="shared" si="24"/>
        <v>#DIV/0!</v>
      </c>
      <c r="R45" s="110" t="e">
        <f t="shared" si="24"/>
        <v>#DIV/0!</v>
      </c>
      <c r="S45" s="41" t="e">
        <f t="shared" ref="S45:S46" si="25">ROUNDDOWN(G45+H45+I45+J45+K45+L45+M45+N45+O45+P45+Q45+R45,0)</f>
        <v>#DIV/0!</v>
      </c>
    </row>
    <row r="46" spans="3:19" ht="16.149999999999999" customHeight="1">
      <c r="C46" s="100" t="s">
        <v>77</v>
      </c>
      <c r="D46" s="101" t="s">
        <v>35</v>
      </c>
      <c r="E46" s="58" t="s">
        <v>79</v>
      </c>
      <c r="F46" s="59" t="s">
        <v>36</v>
      </c>
      <c r="G46" s="150" t="e">
        <f>G45*$I$7</f>
        <v>#DIV/0!</v>
      </c>
      <c r="H46" s="150" t="e">
        <f t="shared" ref="H46:R46" si="26">H45*$I$7</f>
        <v>#DIV/0!</v>
      </c>
      <c r="I46" s="150" t="e">
        <f t="shared" si="26"/>
        <v>#DIV/0!</v>
      </c>
      <c r="J46" s="150" t="e">
        <f t="shared" si="26"/>
        <v>#DIV/0!</v>
      </c>
      <c r="K46" s="150" t="e">
        <f t="shared" si="26"/>
        <v>#DIV/0!</v>
      </c>
      <c r="L46" s="150" t="e">
        <f t="shared" si="26"/>
        <v>#DIV/0!</v>
      </c>
      <c r="M46" s="150" t="e">
        <f t="shared" si="26"/>
        <v>#DIV/0!</v>
      </c>
      <c r="N46" s="150" t="e">
        <f t="shared" si="26"/>
        <v>#DIV/0!</v>
      </c>
      <c r="O46" s="150" t="e">
        <f t="shared" si="26"/>
        <v>#DIV/0!</v>
      </c>
      <c r="P46" s="150" t="e">
        <f t="shared" si="26"/>
        <v>#DIV/0!</v>
      </c>
      <c r="Q46" s="150" t="e">
        <f t="shared" si="26"/>
        <v>#DIV/0!</v>
      </c>
      <c r="R46" s="150" t="e">
        <f t="shared" si="26"/>
        <v>#DIV/0!</v>
      </c>
      <c r="S46" s="151" t="e">
        <f t="shared" si="25"/>
        <v>#DIV/0!</v>
      </c>
    </row>
  </sheetData>
  <mergeCells count="5">
    <mergeCell ref="L2:M2"/>
    <mergeCell ref="G3:H3"/>
    <mergeCell ref="I3:J3"/>
    <mergeCell ref="V2:W2"/>
    <mergeCell ref="X2:Y2"/>
  </mergeCells>
  <phoneticPr fontId="1"/>
  <printOptions horizontalCentered="1"/>
  <pageMargins left="0.19685039370078741" right="0.19685039370078741" top="0.55118110236220474" bottom="0.19685039370078741" header="0.31496062992125984" footer="0.31496062992125984"/>
  <pageSetup paperSize="9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D9"/>
  <sheetViews>
    <sheetView workbookViewId="0">
      <selection activeCell="I6" sqref="I6"/>
    </sheetView>
  </sheetViews>
  <sheetFormatPr defaultColWidth="14.875" defaultRowHeight="15.75"/>
  <cols>
    <col min="1" max="1" width="14.875" style="1"/>
    <col min="2" max="2" width="18" customWidth="1"/>
    <col min="3" max="3" width="42.875" style="1" customWidth="1"/>
    <col min="4" max="4" width="64.25" style="1" customWidth="1"/>
    <col min="5" max="16384" width="14.875" style="1"/>
  </cols>
  <sheetData>
    <row r="2" spans="1:4">
      <c r="A2" s="1" t="s">
        <v>0</v>
      </c>
      <c r="B2" s="1" t="s">
        <v>54</v>
      </c>
      <c r="C2" s="1" t="s">
        <v>54</v>
      </c>
      <c r="D2" s="1" t="s">
        <v>54</v>
      </c>
    </row>
    <row r="3" spans="1:4">
      <c r="A3" s="1" t="s">
        <v>1</v>
      </c>
      <c r="B3" s="1" t="s">
        <v>56</v>
      </c>
      <c r="C3" s="1" t="s">
        <v>56</v>
      </c>
      <c r="D3" s="1" t="s">
        <v>57</v>
      </c>
    </row>
    <row r="4" spans="1:4">
      <c r="A4" s="1" t="s">
        <v>2</v>
      </c>
      <c r="B4" s="1" t="s">
        <v>57</v>
      </c>
      <c r="C4" s="1" t="s">
        <v>57</v>
      </c>
      <c r="D4" s="1" t="s">
        <v>67</v>
      </c>
    </row>
    <row r="5" spans="1:4">
      <c r="B5" s="1" t="s">
        <v>67</v>
      </c>
      <c r="C5" s="1" t="s">
        <v>123</v>
      </c>
      <c r="D5" s="1" t="s">
        <v>68</v>
      </c>
    </row>
    <row r="6" spans="1:4" ht="31.5">
      <c r="B6" s="1" t="s">
        <v>68</v>
      </c>
      <c r="C6" s="141" t="s">
        <v>124</v>
      </c>
      <c r="D6" s="1" t="s">
        <v>66</v>
      </c>
    </row>
    <row r="7" spans="1:4">
      <c r="B7" s="1" t="s">
        <v>66</v>
      </c>
      <c r="C7" s="1" t="s">
        <v>67</v>
      </c>
    </row>
    <row r="8" spans="1:4">
      <c r="C8" s="1" t="s">
        <v>68</v>
      </c>
    </row>
    <row r="9" spans="1:4">
      <c r="C9" s="1" t="s">
        <v>66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計算シート</vt:lpstr>
      <vt:lpstr>詳細試算</vt:lpstr>
      <vt:lpstr>テーブル</vt:lpstr>
      <vt:lpstr>詳細試算!Print_Area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　裕樹</dc:creator>
  <cp:lastModifiedBy>平田　裕樹</cp:lastModifiedBy>
  <cp:lastPrinted>2024-04-30T08:09:27Z</cp:lastPrinted>
  <dcterms:created xsi:type="dcterms:W3CDTF">2024-08-08T07:58:09Z</dcterms:created>
  <dcterms:modified xsi:type="dcterms:W3CDTF">2025-04-30T05:56:20Z</dcterms:modified>
</cp:coreProperties>
</file>