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7380" activeTab="0"/>
  </bookViews>
  <sheets>
    <sheet name="高圧ガス" sheetId="1" r:id="rId1"/>
    <sheet name="参考値" sheetId="2" r:id="rId2"/>
  </sheets>
  <definedNames>
    <definedName name="_xlfn.IFERROR" hidden="1">#NAME?</definedName>
    <definedName name="_xlnm.Print_Area" localSheetId="0">'高圧ガス'!$A$1:$W$36</definedName>
  </definedNames>
  <calcPr fullCalcOnLoad="1"/>
</workbook>
</file>

<file path=xl/sharedStrings.xml><?xml version="1.0" encoding="utf-8"?>
<sst xmlns="http://schemas.openxmlformats.org/spreadsheetml/2006/main" count="248" uniqueCount="173">
  <si>
    <t>個数</t>
  </si>
  <si>
    <t>∴</t>
  </si>
  <si>
    <t>製造</t>
  </si>
  <si>
    <t>貯蔵</t>
  </si>
  <si>
    <t>量</t>
  </si>
  <si>
    <t>No.</t>
  </si>
  <si>
    <t>ガス種</t>
  </si>
  <si>
    <t>判定</t>
  </si>
  <si>
    <t>流入量</t>
  </si>
  <si>
    <t>減圧設備</t>
  </si>
  <si>
    <t>㎥/day</t>
  </si>
  <si>
    <t>流入量(㎥)</t>
  </si>
  <si>
    <t>処理設備の減圧弁</t>
  </si>
  <si>
    <t>㎥/day</t>
  </si>
  <si>
    <t>(10P+1)*0.9V</t>
  </si>
  <si>
    <t>加圧蒸発器付容器</t>
  </si>
  <si>
    <t>㎥/day</t>
  </si>
  <si>
    <t>V:容積(㎥)</t>
  </si>
  <si>
    <t>q*(10P+1)*24</t>
  </si>
  <si>
    <t>↪液ガス取り出し</t>
  </si>
  <si>
    <t>W*M/(22.4*ρ*1000)*(10P+1)*24</t>
  </si>
  <si>
    <t>↪減圧</t>
  </si>
  <si>
    <t>ρ:密度</t>
  </si>
  <si>
    <t>M:分子量</t>
  </si>
  <si>
    <t>加圧蒸発器付低温貯槽</t>
  </si>
  <si>
    <t>V*10P</t>
  </si>
  <si>
    <t>内部冷却付貯槽</t>
  </si>
  <si>
    <t>(10p+1)*0.9V</t>
  </si>
  <si>
    <t>W*M/（22.4*ρ*1000）*(10P+1)*24</t>
  </si>
  <si>
    <t>↪消費</t>
  </si>
  <si>
    <t>W*M/（22.4*ρ*1000）*(10P+1+W)*24</t>
  </si>
  <si>
    <t>CE</t>
  </si>
  <si>
    <t>V*10P*n</t>
  </si>
  <si>
    <t>バッチ処理釜</t>
  </si>
  <si>
    <t>n:最高処理回数</t>
  </si>
  <si>
    <t>アキュムレータ</t>
  </si>
  <si>
    <t>蒸発器＋凝縮器</t>
  </si>
  <si>
    <t>精留・分留</t>
  </si>
  <si>
    <t>処理設備の能力</t>
  </si>
  <si>
    <t>↪接続</t>
  </si>
  <si>
    <t>処理設備の能力(㎥)</t>
  </si>
  <si>
    <t>反応器</t>
  </si>
  <si>
    <t>W*24*22.4/M</t>
  </si>
  <si>
    <t>凝縮器</t>
  </si>
  <si>
    <t>W*24*22.4/M</t>
  </si>
  <si>
    <t>蒸発器</t>
  </si>
  <si>
    <t>W*24</t>
  </si>
  <si>
    <t>圧縮機</t>
  </si>
  <si>
    <t>W*24*ρ*22.4/M</t>
  </si>
  <si>
    <t>ポンプ</t>
  </si>
  <si>
    <t>V/C</t>
  </si>
  <si>
    <t>↪容器</t>
  </si>
  <si>
    <t>㎥</t>
  </si>
  <si>
    <t>C:容器則22条の値</t>
  </si>
  <si>
    <t>V:容積(L)</t>
  </si>
  <si>
    <t>CwV</t>
  </si>
  <si>
    <t>↪貯槽</t>
  </si>
  <si>
    <t>w:比重</t>
  </si>
  <si>
    <t>C:0.9(低温容器は別)</t>
  </si>
  <si>
    <t>液化ガス</t>
  </si>
  <si>
    <t>(１０P+1)V</t>
  </si>
  <si>
    <t>圧縮ガス</t>
  </si>
  <si>
    <t>P:圧力(MPa)</t>
  </si>
  <si>
    <t>処理</t>
  </si>
  <si>
    <t>単位</t>
  </si>
  <si>
    <t>No.</t>
  </si>
  <si>
    <t>高圧ガス</t>
  </si>
  <si>
    <t>一種ガス</t>
  </si>
  <si>
    <t>ヘリウム</t>
  </si>
  <si>
    <t>ネオン</t>
  </si>
  <si>
    <t>アルゴン</t>
  </si>
  <si>
    <t>クリプトン</t>
  </si>
  <si>
    <t>キセノン</t>
  </si>
  <si>
    <t>ラドン</t>
  </si>
  <si>
    <t>窒素</t>
  </si>
  <si>
    <t>二酸化炭素</t>
  </si>
  <si>
    <t>空気</t>
  </si>
  <si>
    <t>容器則第22条</t>
  </si>
  <si>
    <t>液化ガスの種類</t>
  </si>
  <si>
    <t>定数</t>
  </si>
  <si>
    <t>液化エチレン</t>
  </si>
  <si>
    <t>液化エタン</t>
  </si>
  <si>
    <t>液化プロパン</t>
  </si>
  <si>
    <t>液化プロピレン</t>
  </si>
  <si>
    <t>液化ブタン</t>
  </si>
  <si>
    <t>液化ブチレン</t>
  </si>
  <si>
    <t>液化シクロプロパン</t>
  </si>
  <si>
    <t>液化アンモニア</t>
  </si>
  <si>
    <t>液化ブタジエン</t>
  </si>
  <si>
    <t>液化トリメチルアミン</t>
  </si>
  <si>
    <t>液化ジメチルアミン</t>
  </si>
  <si>
    <t>液化メチルエーテル</t>
  </si>
  <si>
    <t>液化モノメチルアミン</t>
  </si>
  <si>
    <t>液化塩化水素</t>
  </si>
  <si>
    <t>液化シアン化水素</t>
  </si>
  <si>
    <t>液化硫化水素</t>
  </si>
  <si>
    <t>液化炭酸ガス</t>
  </si>
  <si>
    <t>液化亜酸化窒素</t>
  </si>
  <si>
    <t>液化酸化エチレン</t>
  </si>
  <si>
    <t>液化クロルメチル</t>
  </si>
  <si>
    <t>液化塩化ビニル</t>
  </si>
  <si>
    <t>液化四ふつ化エチレン</t>
  </si>
  <si>
    <t>液化六ふつ化硫黄</t>
  </si>
  <si>
    <t>液化キセノン</t>
  </si>
  <si>
    <t>液化塩素</t>
  </si>
  <si>
    <t>液化臭化水素</t>
  </si>
  <si>
    <t>液化亜硫酸ガス</t>
  </si>
  <si>
    <t>その他の液化ガス</t>
  </si>
  <si>
    <t>液化フルオロカーボン152ａ</t>
  </si>
  <si>
    <t>液化フルオロカーボン500</t>
  </si>
  <si>
    <t>液化フルオロカーボン13</t>
  </si>
  <si>
    <t>液化フルオロカーボン22</t>
  </si>
  <si>
    <t>液化フルオロカーボン502</t>
  </si>
  <si>
    <t>液化フルオロカーボン115</t>
  </si>
  <si>
    <t>液化フルオロカーボン12</t>
  </si>
  <si>
    <t>液化フルオロカーボン13B1</t>
  </si>
  <si>
    <t>液化フルオロカーボン114</t>
  </si>
  <si>
    <t>液化フルオロカーボンC318</t>
  </si>
  <si>
    <t>比重が0.463以上0.472以下の液化石油ガス</t>
  </si>
  <si>
    <t>比重が0.473以上0.48以下の液化石油ガス</t>
  </si>
  <si>
    <t>比重が0.481以上0.488以下の液化石油ガス</t>
  </si>
  <si>
    <t>比重が0.489以上0.495以下の液化石油ガス</t>
  </si>
  <si>
    <t>比重が0.496以上0.503以下の液化石油ガス</t>
  </si>
  <si>
    <t>比重が0.504以上0.51以下の液化石油ガス</t>
  </si>
  <si>
    <t>比重が0.511以上0.519以下の液化石油ガス</t>
  </si>
  <si>
    <t>比重が0.52以上0.527以下の液化石油ガス</t>
  </si>
  <si>
    <t>比重が0.528以上0.536以下の液化石油ガス</t>
  </si>
  <si>
    <t>比重が0.537以上0.544以下の液化石油ガス</t>
  </si>
  <si>
    <t>比重が0.545以上0.552以下の液化石油ガス</t>
  </si>
  <si>
    <t>比重が0.553以上0.56以下の液化石油ガス</t>
  </si>
  <si>
    <t>比重が0.561以上0.568以下の液化石油ガス</t>
  </si>
  <si>
    <t>比重が0.577以上0.584以下の液化石油ガス</t>
  </si>
  <si>
    <t>比重が0.585以上0.592以下の液化石油ガス</t>
  </si>
  <si>
    <t>比重が0.593以上0.6以下の液化石油ガス</t>
  </si>
  <si>
    <t>比重が0.601以上0.608以下の液化石油ガス</t>
  </si>
  <si>
    <t>比重が0.569以上0.576以下の液化石油ガス</t>
  </si>
  <si>
    <t>温度15度における比重（以下この表において「比重」という。）が0.453以上0.462以下の液化石油ガス</t>
  </si>
  <si>
    <t>液化フルオロカーボン32</t>
  </si>
  <si>
    <t>液化フルオロカーボン404Ａ</t>
  </si>
  <si>
    <t>液化フルオロオレフィン1234ｙｆ</t>
  </si>
  <si>
    <t>液化フルオロオレフィン1234ｚｅ</t>
  </si>
  <si>
    <t>液化フルオロカーボン134ａ</t>
  </si>
  <si>
    <t>液化ジメチルエーテル</t>
  </si>
  <si>
    <t>2．ガスと着火源との接触を維持しない限り火炎が認められないこと。</t>
  </si>
  <si>
    <t>W:能力の数値(㎥/h)</t>
  </si>
  <si>
    <t>水電解水素発生昇圧装置</t>
  </si>
  <si>
    <t>W*24</t>
  </si>
  <si>
    <t>W:能力の数値(L/h)</t>
  </si>
  <si>
    <t>W:能力の数値(kg/h)</t>
  </si>
  <si>
    <t>W1:蒸発器能力(kg/h)</t>
  </si>
  <si>
    <t>W2:凝縮器能力(kg/h)</t>
  </si>
  <si>
    <t>P:最高圧力(Mpa)</t>
  </si>
  <si>
    <t>P:常用圧力(Mpa)</t>
  </si>
  <si>
    <t>p:常用圧力(Mpa)</t>
  </si>
  <si>
    <t>q:最大充てん量(㎥/h)</t>
  </si>
  <si>
    <t>P:最高圧力(Mpa)</t>
  </si>
  <si>
    <t>以下のいずれかに該当するフルオロカーボン</t>
  </si>
  <si>
    <t>1．爆発下限値が10%を超えかつ爆発範囲が20%未満であること。</t>
  </si>
  <si>
    <t>1.05を当該液化ガスの温度48度における比重で除して得た数値</t>
  </si>
  <si>
    <t>液石則</t>
  </si>
  <si>
    <t>バルク貯槽（地上2000L未満）</t>
  </si>
  <si>
    <t>0.85wV</t>
  </si>
  <si>
    <t>LPスタンド加圧蒸発器付貯槽</t>
  </si>
  <si>
    <t>㎥</t>
  </si>
  <si>
    <t>㎥/day</t>
  </si>
  <si>
    <t>(10P+1)*C*V</t>
  </si>
  <si>
    <t>0.9(バルク貯槽は0.85)</t>
  </si>
  <si>
    <t>V:容積(㎥)</t>
  </si>
  <si>
    <t>(一般則・液石則)</t>
  </si>
  <si>
    <t>使用方法</t>
  </si>
  <si>
    <t>右側の太枠内に入力します。黄色のセルで左側の該当する計算式のNo.を選択し、次にガス種を選択してください。</t>
  </si>
  <si>
    <t>各々の変数または定数（容器則22条は参考値のシートを参照）を入力し、計算します。</t>
  </si>
  <si>
    <t>シリンダー等は個数を入力し乗算します。5つまで処理量等を合算し判定できます。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</si>
</sst>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MS PGothic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1"/>
      <color theme="1"/>
      <name val="MS PGothic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F08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double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double"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/>
      <bottom style="double"/>
    </border>
    <border>
      <left/>
      <right style="double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5" borderId="12" xfId="0" applyFill="1" applyBorder="1" applyAlignment="1">
      <alignment/>
    </xf>
    <xf numFmtId="0" fontId="0" fillId="0" borderId="13" xfId="0" applyBorder="1" applyAlignment="1">
      <alignment shrinkToFi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5" borderId="15" xfId="0" applyFill="1" applyBorder="1" applyAlignment="1">
      <alignment/>
    </xf>
    <xf numFmtId="0" fontId="0" fillId="0" borderId="16" xfId="0" applyBorder="1" applyAlignment="1">
      <alignment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" borderId="15" xfId="0" applyFill="1" applyBorder="1" applyAlignment="1">
      <alignment/>
    </xf>
    <xf numFmtId="0" fontId="0" fillId="5" borderId="19" xfId="0" applyFill="1" applyBorder="1" applyAlignment="1">
      <alignment shrinkToFi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Fill="1" applyBorder="1" applyAlignment="1">
      <alignment/>
    </xf>
    <xf numFmtId="0" fontId="0" fillId="5" borderId="26" xfId="0" applyFill="1" applyBorder="1" applyAlignment="1">
      <alignment/>
    </xf>
    <xf numFmtId="0" fontId="0" fillId="33" borderId="0" xfId="0" applyFill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6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7" borderId="15" xfId="0" applyFill="1" applyBorder="1" applyAlignment="1">
      <alignment/>
    </xf>
    <xf numFmtId="0" fontId="0" fillId="0" borderId="0" xfId="0" applyAlignment="1">
      <alignment horizontal="left"/>
    </xf>
    <xf numFmtId="0" fontId="42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2" fillId="0" borderId="29" xfId="0" applyFont="1" applyFill="1" applyBorder="1" applyAlignment="1">
      <alignment vertical="center" wrapText="1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shrinkToFit="1"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0" xfId="0" applyFill="1" applyAlignment="1">
      <alignment horizontal="left" shrinkToFit="1"/>
    </xf>
    <xf numFmtId="0" fontId="0" fillId="33" borderId="0" xfId="0" applyFont="1" applyFill="1" applyAlignment="1">
      <alignment horizontal="left" shrinkToFit="1"/>
    </xf>
    <xf numFmtId="0" fontId="0" fillId="6" borderId="0" xfId="0" applyFont="1" applyFill="1" applyAlignment="1">
      <alignment horizontal="left" shrinkToFit="1"/>
    </xf>
    <xf numFmtId="0" fontId="43" fillId="0" borderId="29" xfId="0" applyFont="1" applyFill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38" xfId="0" applyFont="1" applyBorder="1" applyAlignment="1">
      <alignment horizontal="left" vertical="top" wrapText="1"/>
    </xf>
    <xf numFmtId="0" fontId="0" fillId="34" borderId="15" xfId="0" applyFill="1" applyBorder="1" applyAlignment="1" applyProtection="1">
      <alignment horizontal="center"/>
      <protection/>
    </xf>
    <xf numFmtId="0" fontId="0" fillId="5" borderId="15" xfId="0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SheetLayoutView="100" zoomScalePageLayoutView="0" workbookViewId="0" topLeftCell="A1">
      <selection activeCell="Q5" sqref="Q5"/>
    </sheetView>
  </sheetViews>
  <sheetFormatPr defaultColWidth="9.140625" defaultRowHeight="15"/>
  <cols>
    <col min="1" max="1" width="18.421875" style="0" customWidth="1"/>
    <col min="2" max="2" width="5.57421875" style="0" customWidth="1"/>
    <col min="3" max="12" width="5.57421875" style="0" hidden="1" customWidth="1"/>
    <col min="13" max="14" width="9.7109375" style="0" customWidth="1"/>
    <col min="20" max="20" width="19.140625" style="1" customWidth="1"/>
    <col min="23" max="23" width="6.8515625" style="0" customWidth="1"/>
  </cols>
  <sheetData>
    <row r="1" spans="1:14" ht="24.75" customHeight="1" thickBot="1">
      <c r="A1" s="34" t="s">
        <v>66</v>
      </c>
      <c r="B1" s="60" t="s">
        <v>168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23" ht="13.5" customHeight="1">
      <c r="A2" s="33"/>
      <c r="B2" s="35" t="s">
        <v>65</v>
      </c>
      <c r="C2" s="33"/>
      <c r="D2" s="33"/>
      <c r="E2" s="33"/>
      <c r="F2" s="33"/>
      <c r="G2" s="32" t="s">
        <v>64</v>
      </c>
      <c r="H2" s="32"/>
      <c r="I2" s="32"/>
      <c r="J2" s="32"/>
      <c r="K2" s="32"/>
      <c r="L2" s="32"/>
      <c r="M2" s="31" t="s">
        <v>3</v>
      </c>
      <c r="N2" s="30" t="s">
        <v>63</v>
      </c>
      <c r="T2" s="29" t="s">
        <v>6</v>
      </c>
      <c r="U2" s="44" t="s">
        <v>5</v>
      </c>
      <c r="V2" s="28" t="s">
        <v>4</v>
      </c>
      <c r="W2" s="14"/>
    </row>
    <row r="3" spans="2:23" ht="13.5" customHeight="1">
      <c r="B3" s="36">
        <v>1</v>
      </c>
      <c r="C3" s="21" t="s">
        <v>62</v>
      </c>
      <c r="D3" s="21" t="s">
        <v>54</v>
      </c>
      <c r="E3" s="21"/>
      <c r="F3" s="21"/>
      <c r="G3" s="21" t="s">
        <v>52</v>
      </c>
      <c r="H3" s="21">
        <f>IF(U3=1,(10*U4+1)*U5*10^-3,"")</f>
      </c>
      <c r="I3" s="21">
        <f>IF(U10=1,(10*U11+1)*U12*10^-3,"")</f>
      </c>
      <c r="J3" s="21">
        <f>IF(U17=1,(10*U18+1)*U19*10^-3,"")</f>
      </c>
      <c r="K3" s="21">
        <f>IF(U24=1,(10*U25+1)*U26*10^-3,"")</f>
      </c>
      <c r="L3" s="21">
        <f>IF(U31=1,(10*U32+1)*U33*10^-3,"")</f>
      </c>
      <c r="M3" s="27" t="s">
        <v>61</v>
      </c>
      <c r="N3" s="27"/>
      <c r="O3" s="27" t="s">
        <v>60</v>
      </c>
      <c r="T3" s="13"/>
      <c r="U3" s="36"/>
      <c r="V3" s="12">
        <f>IF(ISBLANK(U3),0,_xlfn.IFERROR(VLOOKUP($U3,$B$3:$H$27,7,FALSE)*IF(U8="",1,U8),""))</f>
        <v>0</v>
      </c>
      <c r="W3" s="6">
        <f>_xlfn.IFERROR(IF(VLOOKUP($U3,$B$3:$G$27,6,FALSE)=0,"",VLOOKUP($U3,$B$3:$G$27,6,FALSE)),"")</f>
      </c>
    </row>
    <row r="4" spans="1:23" ht="13.5" customHeight="1">
      <c r="A4" s="23" t="s">
        <v>59</v>
      </c>
      <c r="B4" s="36">
        <v>2</v>
      </c>
      <c r="C4" s="21" t="s">
        <v>58</v>
      </c>
      <c r="D4" s="21" t="s">
        <v>57</v>
      </c>
      <c r="E4" s="21" t="s">
        <v>54</v>
      </c>
      <c r="F4" s="21"/>
      <c r="G4" s="21" t="s">
        <v>52</v>
      </c>
      <c r="H4" s="21">
        <f>IF(U3=2,U4*U5*U6/10,"")</f>
      </c>
      <c r="I4" s="21">
        <f>IF(U10=2,U11*U12*U13/10,"")</f>
      </c>
      <c r="J4" s="21">
        <f>IF(U17=2,U18*U19*U20/10,"")</f>
      </c>
      <c r="K4" s="21">
        <f>IF(U24=2,U25*U26*U27/10,"")</f>
      </c>
      <c r="L4" s="21">
        <f>IF(U31=2,U32*U33*U34/10,"")</f>
      </c>
      <c r="M4" s="27" t="s">
        <v>56</v>
      </c>
      <c r="N4" s="27"/>
      <c r="O4" s="27" t="s">
        <v>55</v>
      </c>
      <c r="T4" s="9">
        <f>_xlfn.IFERROR(IF(VLOOKUP($U$3,$B$3:$G$27,2,FALSE)=0,"",VLOOKUP($U$3,$B$3:$G$27,2,FALSE)),"")</f>
      </c>
      <c r="U4" s="8"/>
      <c r="V4" s="7"/>
      <c r="W4" s="6"/>
    </row>
    <row r="5" spans="2:23" ht="13.5" customHeight="1">
      <c r="B5" s="36">
        <v>3</v>
      </c>
      <c r="C5" s="21" t="s">
        <v>54</v>
      </c>
      <c r="D5" s="21" t="s">
        <v>53</v>
      </c>
      <c r="E5" s="21"/>
      <c r="F5" s="21"/>
      <c r="G5" s="21" t="s">
        <v>52</v>
      </c>
      <c r="H5" s="21">
        <f>IF(U3=3,U4/U5/10,"")</f>
      </c>
      <c r="I5" s="21">
        <f>IF(U10=3,U11/U12/10,"")</f>
      </c>
      <c r="J5" s="21">
        <f>IF(U17=3,U18/U19/10,"")</f>
      </c>
      <c r="K5" s="21">
        <f>IF(U24=3,U25/U26/10,"")</f>
      </c>
      <c r="L5" s="21">
        <f>IF(U31=3,U32/U33/10,"")</f>
      </c>
      <c r="M5" s="27" t="s">
        <v>51</v>
      </c>
      <c r="N5" s="27"/>
      <c r="O5" s="27" t="s">
        <v>50</v>
      </c>
      <c r="T5" s="9">
        <f>_xlfn.IFERROR(IF(VLOOKUP($U$3,$B$3:$G$27,3,FALSE)=0,"",VLOOKUP($U$3,$B$3:$G$27,3,FALSE)),"")</f>
      </c>
      <c r="U5" s="8"/>
      <c r="V5" s="7"/>
      <c r="W5" s="6"/>
    </row>
    <row r="6" spans="2:23" ht="13.5" customHeight="1">
      <c r="B6" s="36">
        <v>4</v>
      </c>
      <c r="C6" s="21" t="s">
        <v>147</v>
      </c>
      <c r="D6" s="21" t="s">
        <v>22</v>
      </c>
      <c r="E6" s="21" t="s">
        <v>23</v>
      </c>
      <c r="F6" s="21"/>
      <c r="G6" s="21" t="s">
        <v>10</v>
      </c>
      <c r="H6" s="21">
        <f>IF(U3=4,U4*24*U5*22.4/U6,"")</f>
      </c>
      <c r="I6" s="21">
        <f>IF(U10=4,U11*24*U12*22.4/U13,"")</f>
      </c>
      <c r="J6" s="21">
        <f>IF(U17=4,U18*24*U19*22.4/U20,"")</f>
      </c>
      <c r="K6" s="21">
        <f>IF(U24=4,U25*24*U26*22.4/U27,"")</f>
      </c>
      <c r="L6" s="21">
        <f>IF(U31=4,U32*24*U33*22.4/U34,"")</f>
      </c>
      <c r="M6" s="20" t="s">
        <v>49</v>
      </c>
      <c r="N6" s="20"/>
      <c r="O6" s="20" t="s">
        <v>48</v>
      </c>
      <c r="P6" s="20"/>
      <c r="Q6" s="20"/>
      <c r="R6" s="20"/>
      <c r="T6" s="9">
        <f>_xlfn.IFERROR(IF(VLOOKUP($U$3,$B$3:$G$27,4,FALSE)=0,"",VLOOKUP($U$3,$B$3:$G$27,4,FALSE)),"")</f>
      </c>
      <c r="U6" s="8"/>
      <c r="V6" s="7"/>
      <c r="W6" s="6"/>
    </row>
    <row r="7" spans="2:23" ht="13.5" customHeight="1">
      <c r="B7" s="36">
        <v>5</v>
      </c>
      <c r="C7" s="21" t="s">
        <v>144</v>
      </c>
      <c r="D7" s="21"/>
      <c r="E7" s="21"/>
      <c r="F7" s="21"/>
      <c r="G7" s="21" t="s">
        <v>10</v>
      </c>
      <c r="H7" s="21">
        <f>IF(U3=5,U4*24,"")</f>
      </c>
      <c r="I7" s="21">
        <f>IF(U10=5,U11*24,"")</f>
      </c>
      <c r="J7" s="21">
        <f>IF(U17=5,U18*24,"")</f>
      </c>
      <c r="K7" s="21">
        <f>IF(U24=5,U25*24,"")</f>
      </c>
      <c r="L7" s="21">
        <f>IF(U31=5,U32*24,"")</f>
      </c>
      <c r="M7" s="20" t="s">
        <v>47</v>
      </c>
      <c r="N7" s="20"/>
      <c r="O7" s="20" t="s">
        <v>46</v>
      </c>
      <c r="P7" s="20"/>
      <c r="Q7" s="20"/>
      <c r="R7" s="20"/>
      <c r="T7" s="9">
        <f>_xlfn.IFERROR(IF(VLOOKUP($U$3,$B$3:$G$27,5,FALSE)=0,"",VLOOKUP($U$3,$B$3:$G$27,5,FALSE)),"")</f>
      </c>
      <c r="U7" s="26"/>
      <c r="V7" s="7"/>
      <c r="W7" s="6"/>
    </row>
    <row r="8" spans="2:25" ht="13.5" customHeight="1" thickBot="1">
      <c r="B8" s="36">
        <v>6</v>
      </c>
      <c r="C8" s="21" t="s">
        <v>148</v>
      </c>
      <c r="D8" s="21" t="s">
        <v>23</v>
      </c>
      <c r="E8" s="21"/>
      <c r="F8" s="21"/>
      <c r="G8" s="21" t="s">
        <v>16</v>
      </c>
      <c r="H8" s="21">
        <f>IF(U3=6,U4*24*22.4/U5,"")</f>
      </c>
      <c r="I8" s="21">
        <f>IF(U10=6,U11*24*22.4/U12,"")</f>
      </c>
      <c r="J8" s="21">
        <f>IF(U17=6,U18*24*22.4/U19,"")</f>
      </c>
      <c r="K8" s="21">
        <f>IF(U24=6,U25*24*22.4/U26,"")</f>
      </c>
      <c r="L8" s="21">
        <f>IF(U31=6,U32*24*22.4/U33,"")</f>
      </c>
      <c r="M8" s="20" t="s">
        <v>45</v>
      </c>
      <c r="N8" s="20"/>
      <c r="O8" s="20" t="s">
        <v>44</v>
      </c>
      <c r="P8" s="20"/>
      <c r="Q8" s="20"/>
      <c r="R8" s="20"/>
      <c r="T8" s="5" t="s">
        <v>0</v>
      </c>
      <c r="U8" s="8"/>
      <c r="V8" s="3"/>
      <c r="W8" s="2"/>
      <c r="X8" s="25"/>
      <c r="Y8" s="25"/>
    </row>
    <row r="9" spans="2:23" ht="13.5" customHeight="1">
      <c r="B9" s="36">
        <v>7</v>
      </c>
      <c r="C9" s="21" t="s">
        <v>148</v>
      </c>
      <c r="D9" s="21" t="s">
        <v>23</v>
      </c>
      <c r="E9" s="21"/>
      <c r="F9" s="21"/>
      <c r="G9" s="21" t="s">
        <v>13</v>
      </c>
      <c r="H9" s="21">
        <f>IF(U3=7,U4*24*22.4/U5,"")</f>
      </c>
      <c r="I9" s="21">
        <f>IF(U10=7,U11*24*22.4/U12,"")</f>
      </c>
      <c r="J9" s="21">
        <f>IF(U17=7,U18*24*22.4/U19,"")</f>
      </c>
      <c r="K9" s="21">
        <f>IF(U24=7,U25*24*22.4/U26,"")</f>
      </c>
      <c r="L9" s="21">
        <f>IF(U31=7,U32*24*22.4/U33,"")</f>
      </c>
      <c r="M9" s="20" t="s">
        <v>43</v>
      </c>
      <c r="N9" s="20"/>
      <c r="O9" s="20" t="s">
        <v>42</v>
      </c>
      <c r="P9" s="20"/>
      <c r="Q9" s="20"/>
      <c r="R9" s="20"/>
      <c r="T9" s="16" t="s">
        <v>6</v>
      </c>
      <c r="U9" s="43" t="s">
        <v>5</v>
      </c>
      <c r="V9" s="15" t="s">
        <v>4</v>
      </c>
      <c r="W9" s="14"/>
    </row>
    <row r="10" spans="1:23" ht="13.5" customHeight="1">
      <c r="A10" s="23" t="s">
        <v>41</v>
      </c>
      <c r="B10" s="36">
        <v>8</v>
      </c>
      <c r="C10" s="21" t="s">
        <v>11</v>
      </c>
      <c r="D10" s="21"/>
      <c r="E10" s="21"/>
      <c r="F10" s="21"/>
      <c r="G10" s="21" t="s">
        <v>16</v>
      </c>
      <c r="H10" s="21">
        <f>IF(U3=8,U4,"")</f>
      </c>
      <c r="I10" s="21">
        <f>IF(U10=8,U11,"")</f>
      </c>
      <c r="J10" s="21">
        <f>IF(U17=8,U18,"")</f>
      </c>
      <c r="K10" s="21">
        <f>IF(U24=8,U25,"")</f>
      </c>
      <c r="L10" s="21">
        <f>IF(U31=8,U32,"")</f>
      </c>
      <c r="M10" s="20" t="s">
        <v>29</v>
      </c>
      <c r="N10" s="20"/>
      <c r="O10" s="20" t="s">
        <v>8</v>
      </c>
      <c r="P10" s="20"/>
      <c r="Q10" s="20"/>
      <c r="R10" s="20"/>
      <c r="T10" s="13"/>
      <c r="U10" s="78"/>
      <c r="V10" s="12">
        <f>IF(ISBLANK(U10),0,_xlfn.IFERROR(VLOOKUP($U10,$B$3:$I$27,8,FALSE)*IF(U15="",1,U15),""))</f>
        <v>0</v>
      </c>
      <c r="W10" s="6">
        <f>_xlfn.IFERROR(IF(VLOOKUP($U10,$B$3:$G$27,6,FALSE)=0,"",VLOOKUP($U10,$B$3:$G$27,6,FALSE)),"")</f>
      </c>
    </row>
    <row r="11" spans="1:23" ht="13.5" customHeight="1">
      <c r="A11" s="23"/>
      <c r="B11" s="36">
        <v>9</v>
      </c>
      <c r="C11" s="21" t="s">
        <v>40</v>
      </c>
      <c r="D11" s="21"/>
      <c r="E11" s="21"/>
      <c r="F11" s="21"/>
      <c r="G11" s="21" t="s">
        <v>16</v>
      </c>
      <c r="H11" s="21">
        <f>IF(U3=9,U4*U5*U6,"")</f>
      </c>
      <c r="I11" s="21">
        <f>IF(U10=9,U11*U12*U13,"")</f>
      </c>
      <c r="J11" s="21">
        <f>IF(U17=9,U18*U19*U20,"")</f>
      </c>
      <c r="K11" s="21">
        <f>IF(U24=9,U25*U26*U27,"")</f>
      </c>
      <c r="L11" s="21">
        <f>IF(U31=9,U32*U33*U34,"")</f>
      </c>
      <c r="M11" s="20" t="s">
        <v>39</v>
      </c>
      <c r="N11" s="20"/>
      <c r="O11" s="20" t="s">
        <v>38</v>
      </c>
      <c r="P11" s="20"/>
      <c r="Q11" s="20"/>
      <c r="R11" s="20"/>
      <c r="T11" s="9">
        <f>_xlfn.IFERROR(IF(VLOOKUP($U$10,$B$3:$G$27,2,FALSE)=0,"",VLOOKUP($U$10,$B$3:$G$27,2,FALSE)),"")</f>
      </c>
      <c r="U11" s="79"/>
      <c r="V11" s="7"/>
      <c r="W11" s="6"/>
    </row>
    <row r="12" spans="1:23" ht="13.5" customHeight="1">
      <c r="A12" s="23"/>
      <c r="B12" s="36">
        <v>10</v>
      </c>
      <c r="C12" s="21" t="s">
        <v>11</v>
      </c>
      <c r="D12" s="21"/>
      <c r="E12" s="21"/>
      <c r="F12" s="21"/>
      <c r="G12" s="21" t="s">
        <v>16</v>
      </c>
      <c r="H12" s="21">
        <f>IF(U3=10,U4,"")</f>
      </c>
      <c r="I12" s="21">
        <f>IF(U10=10,U11,"")</f>
      </c>
      <c r="J12" s="21">
        <f>IF(U17=10,U18,"")</f>
      </c>
      <c r="K12" s="21">
        <f>IF(U24=10,U25,"")</f>
      </c>
      <c r="L12" s="21">
        <f>IF(U31=10,U32,"")</f>
      </c>
      <c r="M12" s="20" t="s">
        <v>21</v>
      </c>
      <c r="N12" s="20"/>
      <c r="O12" s="20" t="s">
        <v>8</v>
      </c>
      <c r="P12" s="20"/>
      <c r="Q12" s="20"/>
      <c r="R12" s="20"/>
      <c r="T12" s="9">
        <f>_xlfn.IFERROR(IF(VLOOKUP($U$10,$B$3:$G$27,3,FALSE)=0,"",VLOOKUP($U$10,$B$3:$G$27,3,FALSE)),"")</f>
      </c>
      <c r="U12" s="79"/>
      <c r="V12" s="7"/>
      <c r="W12" s="6"/>
    </row>
    <row r="13" spans="1:23" ht="13.5" customHeight="1">
      <c r="A13" s="23"/>
      <c r="B13" s="36">
        <v>11</v>
      </c>
      <c r="C13" s="21" t="s">
        <v>149</v>
      </c>
      <c r="D13" s="21" t="s">
        <v>150</v>
      </c>
      <c r="E13" s="21" t="s">
        <v>23</v>
      </c>
      <c r="F13" s="21"/>
      <c r="G13" s="21" t="s">
        <v>16</v>
      </c>
      <c r="H13" s="21">
        <f>IF(U3=11,(U4+U5)*24*22.4/U6,"")</f>
      </c>
      <c r="I13" s="21">
        <f>IF(U10=11,(U11+U12)*24*22.4/U13,"")</f>
      </c>
      <c r="J13" s="21">
        <f>IF(U17=11,(U18+U19)*24*22.4/U20,"")</f>
      </c>
      <c r="K13" s="21">
        <f>IF(U24=11,(U25+U26)*24*22.4/U27,"")</f>
      </c>
      <c r="L13" s="21">
        <f>IF(U31=11,(U32+U33)*24*22.4/U34,"")</f>
      </c>
      <c r="M13" s="20" t="s">
        <v>37</v>
      </c>
      <c r="N13" s="20"/>
      <c r="O13" s="20" t="s">
        <v>36</v>
      </c>
      <c r="P13" s="20"/>
      <c r="Q13" s="20"/>
      <c r="R13" s="20"/>
      <c r="T13" s="9">
        <f>_xlfn.IFERROR(IF(VLOOKUP($U$10,$B$3:$G$27,4,FALSE)=0,"",VLOOKUP($U$10,$B$3:$G$27,4,FALSE)),"")</f>
      </c>
      <c r="U13" s="79"/>
      <c r="V13" s="7"/>
      <c r="W13" s="6"/>
    </row>
    <row r="14" spans="1:23" ht="13.5" customHeight="1">
      <c r="A14" s="23"/>
      <c r="B14" s="36">
        <v>12</v>
      </c>
      <c r="C14" s="21" t="s">
        <v>17</v>
      </c>
      <c r="D14" s="21" t="s">
        <v>151</v>
      </c>
      <c r="E14" s="21"/>
      <c r="F14" s="21"/>
      <c r="G14" s="21" t="s">
        <v>16</v>
      </c>
      <c r="H14" s="21">
        <f>IF(U3=12,U4*10*U5,"")</f>
      </c>
      <c r="I14" s="21">
        <f>IF(U10=12,U11*10*U12,"")</f>
      </c>
      <c r="J14" s="21">
        <f>IF(U17=12,U18*10*U19,"")</f>
      </c>
      <c r="K14" s="21">
        <f>IF(U24=12,U25*10*U26,"")</f>
      </c>
      <c r="L14" s="21">
        <f>IF(U31=12,U32*10*U33,"")</f>
      </c>
      <c r="M14" s="20" t="s">
        <v>35</v>
      </c>
      <c r="N14" s="20"/>
      <c r="O14" s="20" t="s">
        <v>25</v>
      </c>
      <c r="P14" s="20"/>
      <c r="Q14" s="20"/>
      <c r="R14" s="20"/>
      <c r="T14" s="9">
        <f>_xlfn.IFERROR(IF(VLOOKUP($U$10,$B$3:$G$27,5,FALSE)=0,"",VLOOKUP($U$10,$B$3:$G$27,5,FALSE)),"")</f>
      </c>
      <c r="U14" s="8"/>
      <c r="V14" s="7"/>
      <c r="W14" s="6"/>
    </row>
    <row r="15" spans="1:23" ht="13.5" customHeight="1" thickBot="1">
      <c r="A15" s="23"/>
      <c r="B15" s="36">
        <v>13</v>
      </c>
      <c r="C15" s="21" t="s">
        <v>17</v>
      </c>
      <c r="D15" s="21" t="s">
        <v>151</v>
      </c>
      <c r="E15" s="21" t="s">
        <v>34</v>
      </c>
      <c r="F15" s="21"/>
      <c r="G15" s="21" t="s">
        <v>16</v>
      </c>
      <c r="H15" s="21">
        <f>IF(U3=13,U4*10*U5*U6,"")</f>
      </c>
      <c r="I15" s="21">
        <f>IF(U10=13,U11*10*U12*U13,"")</f>
      </c>
      <c r="J15" s="21">
        <f>IF(U17=13,U18*10*U19*U20,"")</f>
      </c>
      <c r="K15" s="21">
        <f>IF(U24=13,U25*10*U26*U27,"")</f>
      </c>
      <c r="L15" s="21">
        <f>IF(U31=13,U32*10*U33*U34,"")</f>
      </c>
      <c r="M15" s="20" t="s">
        <v>33</v>
      </c>
      <c r="N15" s="20"/>
      <c r="O15" s="20" t="s">
        <v>32</v>
      </c>
      <c r="P15" s="20"/>
      <c r="Q15" s="20"/>
      <c r="R15" s="20"/>
      <c r="T15" s="5" t="s">
        <v>0</v>
      </c>
      <c r="U15" s="8"/>
      <c r="V15" s="3"/>
      <c r="W15" s="2"/>
    </row>
    <row r="16" spans="1:23" ht="13.5" customHeight="1">
      <c r="A16" s="23" t="s">
        <v>31</v>
      </c>
      <c r="B16" s="36">
        <v>14</v>
      </c>
      <c r="C16" s="21" t="s">
        <v>144</v>
      </c>
      <c r="D16" s="21" t="s">
        <v>23</v>
      </c>
      <c r="E16" s="21" t="s">
        <v>22</v>
      </c>
      <c r="F16" s="21" t="s">
        <v>152</v>
      </c>
      <c r="G16" s="21" t="s">
        <v>13</v>
      </c>
      <c r="H16" s="21">
        <f>IF(U3=14,U4*U5/(22.4*U6*1000)*(10*U7+1+U4)*24,"")</f>
      </c>
      <c r="I16" s="21">
        <f>IF(U10=14,U11*U12/(22.4*U13*1000)*(10*U14+1+U11)*24,"")</f>
      </c>
      <c r="J16" s="21">
        <f>IF(U17=14,U18*U19/(22.4*U20*1000)*(10*U21+1+U18)*24,"")</f>
      </c>
      <c r="K16" s="21">
        <f>IF(U24=14,U25*U26/(22.4*U27*1000)*(10*U28+1+U25)*24,"")</f>
      </c>
      <c r="L16" s="21">
        <f>IF(U31=14,U32*U33/(22.4*U34*1000)*(10*U35+1+U32)*24,"")</f>
      </c>
      <c r="M16" s="20" t="s">
        <v>21</v>
      </c>
      <c r="N16" s="20"/>
      <c r="O16" s="20" t="s">
        <v>30</v>
      </c>
      <c r="P16" s="20"/>
      <c r="Q16" s="20"/>
      <c r="R16" s="20"/>
      <c r="T16" s="16" t="s">
        <v>6</v>
      </c>
      <c r="U16" s="43" t="s">
        <v>5</v>
      </c>
      <c r="V16" s="15" t="s">
        <v>4</v>
      </c>
      <c r="W16" s="14"/>
    </row>
    <row r="17" spans="1:23" ht="13.5" customHeight="1">
      <c r="A17" s="23"/>
      <c r="B17" s="36">
        <v>15</v>
      </c>
      <c r="C17" s="21" t="s">
        <v>144</v>
      </c>
      <c r="D17" s="21" t="s">
        <v>23</v>
      </c>
      <c r="E17" s="21" t="s">
        <v>22</v>
      </c>
      <c r="F17" s="21" t="s">
        <v>152</v>
      </c>
      <c r="G17" s="21" t="s">
        <v>16</v>
      </c>
      <c r="H17" s="21">
        <f>IF(U3=15,U4*U5/(22.4*U6*1000)*(10*U7+1)*24,"")</f>
      </c>
      <c r="I17" s="21">
        <f>IF(U10=15,U11*U12/(22.4*U13*1000)*(10*U14+1)*24,"")</f>
      </c>
      <c r="J17" s="21">
        <f>IF(U17=15,U18*U19/(22.4*U20*1000)*(10*U21+1)*24,"")</f>
      </c>
      <c r="K17" s="21">
        <f>IF(U24=15,U25*U26/(22.4*U27*1000)*(10*U28+1)*24,"")</f>
      </c>
      <c r="L17" s="21">
        <f>IF(U31=15,U32*U33/(22.4*U34*1000)*(10*U35+1)*24,"")</f>
      </c>
      <c r="M17" s="20" t="s">
        <v>29</v>
      </c>
      <c r="N17" s="20"/>
      <c r="O17" s="20" t="s">
        <v>28</v>
      </c>
      <c r="P17" s="20"/>
      <c r="Q17" s="20"/>
      <c r="R17" s="20"/>
      <c r="T17" s="13"/>
      <c r="U17" s="78"/>
      <c r="V17" s="12">
        <f>IF(ISBLANK(U17),0,_xlfn.IFERROR(VLOOKUP($U17,$B$3:$J$27,9,FALSE)*IF(U22="",1,U22),""))</f>
        <v>0</v>
      </c>
      <c r="W17" s="6">
        <f>_xlfn.IFERROR(IF(VLOOKUP($U17,$B$3:$G$27,6,FALSE)=0,"",VLOOKUP($U17,$B$3:$G$27,6,FALSE)),"")</f>
      </c>
    </row>
    <row r="18" spans="1:23" ht="13.5" customHeight="1">
      <c r="A18" s="23"/>
      <c r="B18" s="36">
        <v>16</v>
      </c>
      <c r="C18" s="21" t="s">
        <v>153</v>
      </c>
      <c r="D18" s="21" t="s">
        <v>17</v>
      </c>
      <c r="E18" s="21"/>
      <c r="F18" s="21"/>
      <c r="G18" s="21" t="s">
        <v>16</v>
      </c>
      <c r="H18" s="21">
        <f>IF(U3=16,(10*U4+1)*0.9*U5,"")</f>
      </c>
      <c r="I18" s="21">
        <f>IF(U10=16,(10*U11+1)*0.9*U12,"")</f>
      </c>
      <c r="J18" s="21">
        <f>IF(U17=16,(10*U18+1)*0.9*U19,"")</f>
      </c>
      <c r="K18" s="21">
        <f>IF(U24=16,(10*U25+1)*0.9*U26,"")</f>
      </c>
      <c r="L18" s="21">
        <f>IF(U31=16,(10*U32+1)*0.9*U33,"")</f>
      </c>
      <c r="M18" s="20" t="s">
        <v>19</v>
      </c>
      <c r="N18" s="20"/>
      <c r="O18" s="20" t="s">
        <v>27</v>
      </c>
      <c r="P18" s="20"/>
      <c r="Q18" s="20"/>
      <c r="R18" s="20"/>
      <c r="T18" s="9">
        <f>_xlfn.IFERROR(IF(VLOOKUP($U$17,$B$3:$G$27,2,FALSE)=0,"",VLOOKUP($U$17,$B$3:$G$27,2,FALSE)),"")</f>
      </c>
      <c r="U18" s="79"/>
      <c r="V18" s="7"/>
      <c r="W18" s="6"/>
    </row>
    <row r="19" spans="1:23" ht="13.5" customHeight="1">
      <c r="A19" s="23"/>
      <c r="B19" s="36">
        <v>17</v>
      </c>
      <c r="C19" s="21" t="s">
        <v>17</v>
      </c>
      <c r="D19" s="21" t="s">
        <v>151</v>
      </c>
      <c r="E19" s="21"/>
      <c r="F19" s="21"/>
      <c r="G19" s="21" t="s">
        <v>16</v>
      </c>
      <c r="H19" s="21">
        <f>IF(U3=17,U4*10*U5,"")</f>
      </c>
      <c r="I19" s="21">
        <f>IF(U10=17,U11*10*U12,"")</f>
      </c>
      <c r="J19" s="21">
        <f>IF(U17=17,U18*10*U19,"")</f>
      </c>
      <c r="K19" s="21">
        <f>IF(U24=17,U25*10*U26,"")</f>
      </c>
      <c r="L19" s="21">
        <f>IF(U31=17,U32*10*U33,"")</f>
      </c>
      <c r="M19" s="20" t="s">
        <v>26</v>
      </c>
      <c r="N19" s="20"/>
      <c r="O19" s="20" t="s">
        <v>25</v>
      </c>
      <c r="P19" s="20"/>
      <c r="Q19" s="20"/>
      <c r="R19" s="20"/>
      <c r="T19" s="9">
        <f>_xlfn.IFERROR(IF(VLOOKUP($U$17,$B$3:$G$27,3,FALSE)=0,"",VLOOKUP($U$17,$B$3:$G$27,3,FALSE)),"")</f>
      </c>
      <c r="U19" s="79"/>
      <c r="V19" s="7"/>
      <c r="W19" s="6"/>
    </row>
    <row r="20" spans="1:23" ht="13.5" customHeight="1">
      <c r="A20" s="24" t="s">
        <v>24</v>
      </c>
      <c r="B20" s="36">
        <v>18</v>
      </c>
      <c r="C20" s="21" t="s">
        <v>144</v>
      </c>
      <c r="D20" s="21" t="s">
        <v>23</v>
      </c>
      <c r="E20" s="21" t="s">
        <v>22</v>
      </c>
      <c r="F20" s="21" t="s">
        <v>155</v>
      </c>
      <c r="G20" s="21" t="s">
        <v>16</v>
      </c>
      <c r="H20" s="21">
        <f>IF(U3=18,U4*U5/(22.4*U6*1000)*(10*U7+1)*24,"")</f>
      </c>
      <c r="I20" s="21">
        <f>IF(U10=18,U11*U12/(22.4*U13*1000)*(10*U14+1)*24,"")</f>
      </c>
      <c r="J20" s="21">
        <f>IF(U17=18,U18*U19/(22.4*U20*1000)*(10*U21+1)*24,"")</f>
      </c>
      <c r="K20" s="21">
        <f>IF(U24=18,U25*U26/(22.4*U27*1000)*(10*U28+1)*24,"")</f>
      </c>
      <c r="L20" s="21">
        <f>IF(U31=18,U32*U33/(22.4*U34*1000)*(10*U35+1)*24,"")</f>
      </c>
      <c r="M20" s="20" t="s">
        <v>21</v>
      </c>
      <c r="N20" s="20"/>
      <c r="O20" s="20" t="s">
        <v>20</v>
      </c>
      <c r="P20" s="20"/>
      <c r="Q20" s="20"/>
      <c r="R20" s="20"/>
      <c r="T20" s="9">
        <f>_xlfn.IFERROR(IF(VLOOKUP($U$17,$B$3:$G$27,4,FALSE)=0,"",VLOOKUP($U$17,$B$3:$G$27,4,FALSE)),"")</f>
      </c>
      <c r="U20" s="79"/>
      <c r="V20" s="7"/>
      <c r="W20" s="6"/>
    </row>
    <row r="21" spans="1:23" ht="13.5" customHeight="1">
      <c r="A21" s="23"/>
      <c r="B21" s="36">
        <v>19</v>
      </c>
      <c r="C21" s="21" t="s">
        <v>154</v>
      </c>
      <c r="D21" s="21" t="s">
        <v>151</v>
      </c>
      <c r="E21" s="21"/>
      <c r="F21" s="21"/>
      <c r="G21" s="21" t="s">
        <v>16</v>
      </c>
      <c r="H21" s="21">
        <f>IF(U3=19,U4*(10*U5+1)*24,"")</f>
      </c>
      <c r="I21" s="21">
        <f>IF(U10=19,U11*(10*U12+1)*24,"")</f>
      </c>
      <c r="J21" s="21">
        <f>IF(U17=19,U18*(10*U19+1)*24,"")</f>
      </c>
      <c r="K21" s="21">
        <f>IF(U24=19,U25*(10*U26+1)*24,"")</f>
      </c>
      <c r="L21" s="21">
        <f>IF(U31=19,U32*(10*U33+1)*24,"")</f>
      </c>
      <c r="M21" s="20" t="s">
        <v>19</v>
      </c>
      <c r="N21" s="20"/>
      <c r="O21" s="20" t="s">
        <v>18</v>
      </c>
      <c r="P21" s="20"/>
      <c r="Q21" s="20"/>
      <c r="R21" s="20"/>
      <c r="T21" s="9">
        <f>_xlfn.IFERROR(IF(VLOOKUP($U$17,$B$3:$G$27,5,FALSE)=0,"",VLOOKUP($U$17,$B$3:$G$27,5,FALSE)),"")</f>
      </c>
      <c r="U21" s="8"/>
      <c r="V21" s="7"/>
      <c r="W21" s="6"/>
    </row>
    <row r="22" spans="2:23" ht="13.5" customHeight="1" thickBot="1">
      <c r="B22" s="36">
        <v>20</v>
      </c>
      <c r="C22" s="21" t="s">
        <v>155</v>
      </c>
      <c r="D22" s="21" t="s">
        <v>17</v>
      </c>
      <c r="E22" s="21"/>
      <c r="F22" s="21"/>
      <c r="G22" s="21" t="s">
        <v>16</v>
      </c>
      <c r="H22" s="21">
        <f>IF(U3=20,(10*U4+1)*0.9*U5,"")</f>
      </c>
      <c r="I22" s="21">
        <f>IF(U10=20,(10*U11+1)*0.9*U12,"")</f>
      </c>
      <c r="J22" s="21">
        <f>IF(U17=20,(10*U18+1)*0.9*U19,"")</f>
      </c>
      <c r="K22" s="21">
        <f>IF(U24=20,(10*U25+1)*0.9*U26,"")</f>
      </c>
      <c r="L22" s="21">
        <f>IF(U31=20,(10*U32+1)*0.9*U33,"")</f>
      </c>
      <c r="M22" s="20" t="s">
        <v>15</v>
      </c>
      <c r="N22" s="20"/>
      <c r="O22" s="20" t="s">
        <v>14</v>
      </c>
      <c r="P22" s="20"/>
      <c r="Q22" s="20"/>
      <c r="R22" s="20"/>
      <c r="T22" s="5" t="s">
        <v>0</v>
      </c>
      <c r="U22" s="8"/>
      <c r="V22" s="3"/>
      <c r="W22" s="2"/>
    </row>
    <row r="23" spans="2:23" ht="13.5" customHeight="1">
      <c r="B23" s="36">
        <v>21</v>
      </c>
      <c r="C23" s="21"/>
      <c r="D23" s="21"/>
      <c r="E23" s="21"/>
      <c r="F23" s="21"/>
      <c r="G23" s="21" t="s">
        <v>13</v>
      </c>
      <c r="H23" s="21">
        <f>IF(U3=21,0,"")</f>
      </c>
      <c r="I23" s="21">
        <f>IF(U10=21,0,"")</f>
      </c>
      <c r="J23" s="21">
        <f>IF(U17=21,0,"")</f>
      </c>
      <c r="K23" s="21">
        <f>IF(U24=21,0,"")</f>
      </c>
      <c r="L23" s="21">
        <f>IF(U31=21,0,"")</f>
      </c>
      <c r="M23" s="20" t="s">
        <v>12</v>
      </c>
      <c r="N23" s="20"/>
      <c r="O23" s="22">
        <v>0</v>
      </c>
      <c r="P23" s="20"/>
      <c r="Q23" s="20"/>
      <c r="R23" s="20"/>
      <c r="T23" s="16" t="s">
        <v>6</v>
      </c>
      <c r="U23" s="43" t="s">
        <v>5</v>
      </c>
      <c r="V23" s="15" t="s">
        <v>4</v>
      </c>
      <c r="W23" s="14"/>
    </row>
    <row r="24" spans="2:23" ht="13.5" customHeight="1">
      <c r="B24" s="36">
        <v>22</v>
      </c>
      <c r="C24" s="21" t="s">
        <v>11</v>
      </c>
      <c r="D24" s="21"/>
      <c r="E24" s="21"/>
      <c r="F24" s="21"/>
      <c r="G24" s="21" t="s">
        <v>10</v>
      </c>
      <c r="H24" s="21">
        <f>IF(U3=22,U4,"")</f>
      </c>
      <c r="I24" s="21">
        <f>IF(U10=22,U11,"")</f>
      </c>
      <c r="J24" s="21">
        <f>IF(U17=22,U18,"")</f>
      </c>
      <c r="K24" s="21">
        <f>IF(U24=22,U25,"")</f>
      </c>
      <c r="L24" s="21">
        <f>IF(U31=22,U32,"")</f>
      </c>
      <c r="M24" s="20" t="s">
        <v>9</v>
      </c>
      <c r="N24" s="20"/>
      <c r="O24" s="20" t="s">
        <v>8</v>
      </c>
      <c r="P24" s="20"/>
      <c r="Q24" s="20"/>
      <c r="R24" s="20"/>
      <c r="T24" s="13"/>
      <c r="U24" s="78"/>
      <c r="V24" s="12">
        <f>IF(ISBLANK(U24),0,_xlfn.IFERROR(VLOOKUP($U24,$B$3:$K$27,10,FALSE)*IF(U29="",1,U29),""))</f>
        <v>0</v>
      </c>
      <c r="W24" s="6">
        <f>_xlfn.IFERROR(IF(VLOOKUP($U24,$B$3:$G$27,6,FALSE)=0,"",VLOOKUP($U24,$B$3:$G$27,6,FALSE)),"")</f>
      </c>
    </row>
    <row r="25" spans="2:23" ht="13.5" customHeight="1">
      <c r="B25" s="36">
        <v>23</v>
      </c>
      <c r="C25" s="21" t="s">
        <v>144</v>
      </c>
      <c r="G25" s="21" t="s">
        <v>10</v>
      </c>
      <c r="H25" s="21">
        <f>IF(U3=23,U4*24,"")</f>
      </c>
      <c r="I25" s="21">
        <f>IF(U10=23,U11*24,"")</f>
      </c>
      <c r="J25" s="21">
        <f>IF(U17=23,U18*24,"")</f>
      </c>
      <c r="K25" s="21">
        <f>IF(U24=23,U25*24,"")</f>
      </c>
      <c r="L25" s="21">
        <f>IF(U31=23,U32*24,"")</f>
      </c>
      <c r="M25" s="72" t="s">
        <v>145</v>
      </c>
      <c r="N25" s="72"/>
      <c r="O25" s="20" t="s">
        <v>146</v>
      </c>
      <c r="P25" s="20"/>
      <c r="Q25" s="20"/>
      <c r="R25" s="20"/>
      <c r="T25" s="9">
        <f>_xlfn.IFERROR(IF(VLOOKUP($U$24,$B$3:$G$27,2,FALSE)=0,"",VLOOKUP($U$24,$B$3:$G$27,2,FALSE)),"")</f>
      </c>
      <c r="U25" s="79"/>
      <c r="V25" s="7"/>
      <c r="W25" s="6"/>
    </row>
    <row r="26" spans="1:23" ht="13.5" customHeight="1">
      <c r="A26" s="23" t="s">
        <v>159</v>
      </c>
      <c r="B26" s="36">
        <v>24</v>
      </c>
      <c r="C26" s="21" t="s">
        <v>57</v>
      </c>
      <c r="D26" s="21" t="s">
        <v>54</v>
      </c>
      <c r="G26" s="21" t="s">
        <v>163</v>
      </c>
      <c r="H26">
        <f>IF(U3=24,U4*U5*0.85/10,"")</f>
      </c>
      <c r="I26">
        <f>IF(U10=24,U11*U12*0.85/10,"")</f>
      </c>
      <c r="J26">
        <f>IF(U17=24,U18*U19*0.85/10,"")</f>
      </c>
      <c r="K26">
        <f>IF(U24=24,U25*U26*0.85/10,"")</f>
      </c>
      <c r="L26">
        <f>IF(U31=24,U32*U33*0.85/10,"")</f>
      </c>
      <c r="M26" s="73" t="s">
        <v>160</v>
      </c>
      <c r="N26" s="73"/>
      <c r="O26" s="27" t="s">
        <v>161</v>
      </c>
      <c r="T26" s="9">
        <f>_xlfn.IFERROR(IF(VLOOKUP($U$24,$B$3:$G$27,3,FALSE)=0,"",VLOOKUP($U$24,$B$3:$G$27,3,FALSE)),"")</f>
      </c>
      <c r="U26" s="79"/>
      <c r="V26" s="7"/>
      <c r="W26" s="6"/>
    </row>
    <row r="27" spans="1:23" ht="13.5" customHeight="1">
      <c r="A27" s="23" t="s">
        <v>159</v>
      </c>
      <c r="B27" s="36">
        <v>25</v>
      </c>
      <c r="C27" s="21" t="s">
        <v>152</v>
      </c>
      <c r="D27" s="21" t="s">
        <v>166</v>
      </c>
      <c r="E27" t="s">
        <v>167</v>
      </c>
      <c r="G27" s="21" t="s">
        <v>164</v>
      </c>
      <c r="H27">
        <f>IF(U3=25,(10*U4+1)*U5*U6,"")</f>
      </c>
      <c r="I27">
        <f>IF(U10=25,(10*U11+1)*U12*U13,"")</f>
      </c>
      <c r="J27">
        <f>IF(U17=25,(10*U18+1)*U19*U20,"")</f>
      </c>
      <c r="K27">
        <f>IF(U24=25,(10*U25+1)*U26*U27,"")</f>
      </c>
      <c r="L27">
        <f>IF(U31=25,(10*U32+1)*U33*U34,"")</f>
      </c>
      <c r="M27" s="74" t="s">
        <v>162</v>
      </c>
      <c r="N27" s="74"/>
      <c r="O27" s="20" t="s">
        <v>165</v>
      </c>
      <c r="P27" s="20"/>
      <c r="Q27" s="20"/>
      <c r="R27" s="20"/>
      <c r="T27" s="9">
        <f>_xlfn.IFERROR(IF(VLOOKUP($U$24,$B$3:$G$27,4,FALSE)=0,"",VLOOKUP($U$24,$B$3:$G$27,4,FALSE)),"")</f>
      </c>
      <c r="U27" s="79"/>
      <c r="V27" s="7"/>
      <c r="W27" s="6"/>
    </row>
    <row r="28" spans="20:23" ht="13.5" customHeight="1">
      <c r="T28" s="9">
        <f>_xlfn.IFERROR(IF(VLOOKUP($U$24,$B$3:$G$27,5,FALSE)=0,"",VLOOKUP($U$24,$B$3:$G$27,5,FALSE)),"")</f>
      </c>
      <c r="U28" s="8"/>
      <c r="V28" s="7"/>
      <c r="W28" s="6"/>
    </row>
    <row r="29" spans="20:23" ht="13.5" customHeight="1" thickBot="1">
      <c r="T29" s="5" t="s">
        <v>0</v>
      </c>
      <c r="U29" s="8"/>
      <c r="V29" s="3"/>
      <c r="W29" s="2"/>
    </row>
    <row r="30" spans="20:23" ht="13.5" customHeight="1" thickBot="1">
      <c r="T30" s="16" t="s">
        <v>6</v>
      </c>
      <c r="U30" s="43" t="s">
        <v>5</v>
      </c>
      <c r="V30" s="15" t="s">
        <v>4</v>
      </c>
      <c r="W30" s="14"/>
    </row>
    <row r="31" spans="1:23" ht="13.5" customHeight="1" thickTop="1">
      <c r="A31" s="51" t="s">
        <v>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8"/>
      <c r="T31" s="13"/>
      <c r="U31" s="78"/>
      <c r="V31" s="12">
        <f>IF(ISBLANK(U31),0,_xlfn.IFERROR(VLOOKUP($U31,$B$3:$L$27,11,FALSE)*IF(U36="",1,U36),""))</f>
        <v>0</v>
      </c>
      <c r="W31" s="6">
        <f>_xlfn.IFERROR(IF(VLOOKUP($U31,$B$3:$G$27,6,FALSE)=0,"",VLOOKUP($U31,$B$3:$G$27,6,FALSE)),"")</f>
      </c>
    </row>
    <row r="32" spans="1:23" ht="13.5" customHeight="1">
      <c r="A32" s="5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7"/>
      <c r="T32" s="9">
        <f>_xlfn.IFERROR(IF(VLOOKUP($U$31,$B$3:$G$27,2,FALSE)=0,"",VLOOKUP($U$31,$B$3:$G$27,2,FALSE)),"")</f>
      </c>
      <c r="U32" s="79"/>
      <c r="V32" s="7"/>
      <c r="W32" s="6"/>
    </row>
    <row r="33" spans="1:23" ht="13.5" customHeight="1">
      <c r="A33" s="53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7">
        <f>IF(OR(U3=1,U3=2,U3=3,U3=24),V3*1,V3*0)+IF(OR(U10=1,U10=2,U10=3,U10=24),V10*1,V10*0)+IF(OR(U17=1,U17=2,U17=3,U17=24),V17*1,V17*0)+IF(OR(U24=1,U24=2,U24=3,U24=24),V24*1,V24*0)+IF(OR(U31=1,U31=2,U31=3,U31=24),V31*1,V31*0)</f>
        <v>0</v>
      </c>
      <c r="N33" s="57" t="str">
        <f>IF(M33&gt;O33,"&gt;","&lt;")</f>
        <v>&lt;</v>
      </c>
      <c r="O33" s="57">
        <f>1000+2/3*(IF(AND(T3="1種ガス",OR(U3=1,U3=2,U3=3,U3=24)),V3,0)+IF(AND(T10="1種ガス",OR(U10=1,U10=2,U10=3,U10=24)),V10,0)+IF(AND(T17="1種ガス",OR(U17=1,U17=2,U17=3,U17=24)),V17,0)+IF(AND(T24="1種ガス",OR(U24=1,U24=2,U24=3,U24=24)),V24,0)+IF(AND(T31="1種ガス",OR(U31=1,U31=2,U31=3,U31=24)),V31,0))</f>
        <v>1000</v>
      </c>
      <c r="P33" s="69" t="s">
        <v>1</v>
      </c>
      <c r="Q33" s="61">
        <f>IF(M33=0,"",IF(M33&lt;15,"規制外です。",IF(M33&lt;300,"届出不要。貯蔵基準は順守してください。",IF(N33="&gt;","1種貯蔵許可です。","2種貯蔵届です。"))))</f>
      </c>
      <c r="R33" s="62"/>
      <c r="T33" s="9">
        <f>_xlfn.IFERROR(IF(VLOOKUP($U$31,$B$3:$G$27,3,FALSE)=0,"",VLOOKUP($U$31,$B$3:$G$27,3,FALSE)),"")</f>
      </c>
      <c r="U33" s="79"/>
      <c r="V33" s="7"/>
      <c r="W33" s="6"/>
    </row>
    <row r="34" spans="1:23" ht="13.5" customHeight="1">
      <c r="A34" s="5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8"/>
      <c r="N34" s="58"/>
      <c r="O34" s="58"/>
      <c r="P34" s="70"/>
      <c r="Q34" s="63"/>
      <c r="R34" s="64"/>
      <c r="T34" s="9">
        <f>_xlfn.IFERROR(IF(VLOOKUP($U$31,$B$3:$G$27,4,FALSE)=0,"",VLOOKUP($U$31,$B$3:$G$27,4,FALSE)),"")</f>
      </c>
      <c r="U34" s="79"/>
      <c r="V34" s="7"/>
      <c r="W34" s="6"/>
    </row>
    <row r="35" spans="1:23" ht="13.5" customHeight="1">
      <c r="A35" s="55" t="s">
        <v>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7">
        <f>IF(OR(U3=1,U3=2,U3=3,U3=24),V3*0,V3*1)+IF(OR(U10=1,U10=2,U10=3,U10=24),V10*0,V10*1)+IF(OR(U17=1,U17=2,U17=3,U17=24),V17*0,V17*1)+IF(OR(U24=1,U24=2,U24=3,U24=24),V24*0,V24*1)+IF(OR(U31=1,U31=2,U31=3,U31=24),V31*0,V31*1)</f>
        <v>0</v>
      </c>
      <c r="N35" s="57" t="str">
        <f>IF(M35&gt;O35,"&gt;","&lt;")</f>
        <v>&lt;</v>
      </c>
      <c r="O35" s="57">
        <f>100+2/3*(IF(AND(T3="1種ガス",AND(U3&lt;&gt;1,U3&lt;&gt;2,U3&lt;&gt;3,U3&lt;&gt;24)),V3,0)+IF(AND(T10="1種ガス",AND(U10&lt;&gt;1,U10&lt;&gt;2,U10&lt;&gt;3,U10&lt;&gt;24)),V10,0)+IF(AND(T17="1種ガス",AND(U17&lt;&gt;1,U17&lt;&gt;2,U17&lt;&gt;3,U17&lt;&gt;24)),V17,0)+IF(AND(T24="1種ガス",AND(U24&lt;&gt;1,U24&lt;&gt;2,U24&lt;&gt;3,U24&lt;&gt;24)),V24,0)+IF(AND(T31="1種ガス",AND(U31&lt;&gt;1,U31&lt;&gt;2,U31&lt;&gt;3,U31&lt;&gt;24)),V31,0))</f>
        <v>100</v>
      </c>
      <c r="P35" s="69" t="s">
        <v>1</v>
      </c>
      <c r="Q35" s="65">
        <f>IF(M35&lt;&gt;0,IF(N35="&gt;","1種製造許可です。","2種製造届です。"),"")</f>
      </c>
      <c r="R35" s="66"/>
      <c r="T35" s="9">
        <f>_xlfn.IFERROR(IF(VLOOKUP($U$31,$B$3:$G$27,5,FALSE)=0,"",VLOOKUP($U$31,$B$3:$G$27,5,FALSE)),"")</f>
      </c>
      <c r="U35" s="8"/>
      <c r="V35" s="7"/>
      <c r="W35" s="6"/>
    </row>
    <row r="36" spans="1:23" ht="13.5" customHeight="1" thickBot="1">
      <c r="A36" s="5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9"/>
      <c r="N36" s="59"/>
      <c r="O36" s="59"/>
      <c r="P36" s="71"/>
      <c r="Q36" s="67"/>
      <c r="R36" s="68"/>
      <c r="T36" s="5" t="s">
        <v>0</v>
      </c>
      <c r="U36" s="4"/>
      <c r="V36" s="3"/>
      <c r="W36" s="2"/>
    </row>
    <row r="37" ht="13.5" customHeight="1" thickTop="1">
      <c r="A37" t="s">
        <v>169</v>
      </c>
    </row>
    <row r="38" ht="13.5" customHeight="1">
      <c r="A38" t="s">
        <v>170</v>
      </c>
    </row>
    <row r="39" ht="13.5" customHeight="1">
      <c r="A39" t="s">
        <v>171</v>
      </c>
    </row>
    <row r="40" ht="13.5" customHeight="1">
      <c r="A40" t="s">
        <v>172</v>
      </c>
    </row>
    <row r="41" ht="13.5" customHeight="1"/>
  </sheetData>
  <sheetProtection sheet="1"/>
  <protectedRanges>
    <protectedRange sqref="T3:U3 U4:U8 T10:U10 U11:U15 T17:U17 U18:U22 T24:U24 U25:U29 T31:U31 U32:U36" name="範囲1"/>
  </protectedRanges>
  <mergeCells count="17">
    <mergeCell ref="B1:N1"/>
    <mergeCell ref="O35:O36"/>
    <mergeCell ref="O33:O34"/>
    <mergeCell ref="Q33:R34"/>
    <mergeCell ref="Q35:R36"/>
    <mergeCell ref="P33:P34"/>
    <mergeCell ref="P35:P36"/>
    <mergeCell ref="M25:N25"/>
    <mergeCell ref="M26:N26"/>
    <mergeCell ref="M27:N27"/>
    <mergeCell ref="A31:A32"/>
    <mergeCell ref="A33:A34"/>
    <mergeCell ref="A35:A36"/>
    <mergeCell ref="M33:M34"/>
    <mergeCell ref="M35:M36"/>
    <mergeCell ref="N35:N36"/>
    <mergeCell ref="N33:N34"/>
  </mergeCells>
  <dataValidations count="3">
    <dataValidation type="list" allowBlank="1" showInputMessage="1" showErrorMessage="1" sqref="T3 T24 T10 T17 T31">
      <formula1>"1種ガス,2種ガス"</formula1>
    </dataValidation>
    <dataValidation type="list" allowBlank="1" showInputMessage="1" showErrorMessage="1" sqref="U31 U10 U17 U24">
      <formula1>$B$3:$B$27</formula1>
    </dataValidation>
    <dataValidation type="list" allowBlank="1" showInputMessage="1" showErrorMessage="1" sqref="U3">
      <formula1>$B$3:$B$27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67"/>
  <sheetViews>
    <sheetView zoomScalePageLayoutView="0" workbookViewId="0" topLeftCell="A1">
      <selection activeCell="H46" sqref="H46"/>
    </sheetView>
  </sheetViews>
  <sheetFormatPr defaultColWidth="9.140625" defaultRowHeight="13.5" customHeight="1"/>
  <cols>
    <col min="2" max="2" width="27.8515625" style="0" customWidth="1"/>
    <col min="4" max="4" width="36.8515625" style="0" customWidth="1"/>
    <col min="5" max="5" width="18.00390625" style="39" customWidth="1"/>
  </cols>
  <sheetData>
    <row r="3" ht="13.5" customHeight="1">
      <c r="D3" s="21" t="s">
        <v>77</v>
      </c>
    </row>
    <row r="4" spans="2:5" ht="13.5" customHeight="1">
      <c r="B4" s="38" t="s">
        <v>67</v>
      </c>
      <c r="D4" s="42" t="s">
        <v>78</v>
      </c>
      <c r="E4" s="42" t="s">
        <v>79</v>
      </c>
    </row>
    <row r="5" spans="2:5" ht="13.5" customHeight="1">
      <c r="B5" s="37" t="s">
        <v>68</v>
      </c>
      <c r="D5" s="40" t="s">
        <v>80</v>
      </c>
      <c r="E5" s="41">
        <v>3.5</v>
      </c>
    </row>
    <row r="6" spans="2:5" ht="13.5" customHeight="1">
      <c r="B6" s="37" t="s">
        <v>69</v>
      </c>
      <c r="D6" s="40" t="s">
        <v>81</v>
      </c>
      <c r="E6" s="41">
        <v>2.8</v>
      </c>
    </row>
    <row r="7" spans="2:5" ht="13.5" customHeight="1">
      <c r="B7" s="37" t="s">
        <v>70</v>
      </c>
      <c r="D7" s="40" t="s">
        <v>82</v>
      </c>
      <c r="E7" s="41">
        <v>2.35</v>
      </c>
    </row>
    <row r="8" spans="2:5" ht="13.5" customHeight="1">
      <c r="B8" s="37" t="s">
        <v>71</v>
      </c>
      <c r="D8" s="40" t="s">
        <v>83</v>
      </c>
      <c r="E8" s="41">
        <v>2.27</v>
      </c>
    </row>
    <row r="9" spans="2:5" ht="13.5" customHeight="1">
      <c r="B9" s="37" t="s">
        <v>72</v>
      </c>
      <c r="D9" s="40" t="s">
        <v>84</v>
      </c>
      <c r="E9" s="41">
        <v>2.05</v>
      </c>
    </row>
    <row r="10" spans="2:5" ht="13.5" customHeight="1">
      <c r="B10" s="37" t="s">
        <v>73</v>
      </c>
      <c r="D10" s="40" t="s">
        <v>85</v>
      </c>
      <c r="E10" s="41">
        <v>2</v>
      </c>
    </row>
    <row r="11" spans="2:5" ht="13.5" customHeight="1">
      <c r="B11" s="37" t="s">
        <v>74</v>
      </c>
      <c r="D11" s="40" t="s">
        <v>86</v>
      </c>
      <c r="E11" s="41">
        <v>1.87</v>
      </c>
    </row>
    <row r="12" spans="2:5" ht="13.5" customHeight="1">
      <c r="B12" s="37" t="s">
        <v>75</v>
      </c>
      <c r="D12" s="40" t="s">
        <v>87</v>
      </c>
      <c r="E12" s="41">
        <v>1.86</v>
      </c>
    </row>
    <row r="13" spans="2:5" ht="13.5" customHeight="1">
      <c r="B13" s="47" t="s">
        <v>76</v>
      </c>
      <c r="D13" s="40" t="s">
        <v>88</v>
      </c>
      <c r="E13" s="41">
        <v>1.85</v>
      </c>
    </row>
    <row r="14" spans="2:5" ht="13.5" customHeight="1">
      <c r="B14" s="48" t="s">
        <v>156</v>
      </c>
      <c r="D14" s="40" t="s">
        <v>89</v>
      </c>
      <c r="E14" s="41">
        <v>1.76</v>
      </c>
    </row>
    <row r="15" spans="2:5" ht="13.5" customHeight="1">
      <c r="B15" s="75" t="s">
        <v>157</v>
      </c>
      <c r="D15" s="40" t="s">
        <v>90</v>
      </c>
      <c r="E15" s="41">
        <v>1.7</v>
      </c>
    </row>
    <row r="16" spans="2:5" ht="13.5" customHeight="1">
      <c r="B16" s="75"/>
      <c r="D16" s="40" t="s">
        <v>91</v>
      </c>
      <c r="E16" s="41">
        <v>1.67</v>
      </c>
    </row>
    <row r="17" spans="2:5" ht="13.5" customHeight="1">
      <c r="B17" s="76" t="s">
        <v>143</v>
      </c>
      <c r="D17" s="40" t="s">
        <v>142</v>
      </c>
      <c r="E17" s="41">
        <v>1.67</v>
      </c>
    </row>
    <row r="18" spans="2:5" ht="13.5" customHeight="1">
      <c r="B18" s="77"/>
      <c r="D18" s="40" t="s">
        <v>92</v>
      </c>
      <c r="E18" s="41">
        <v>1.67</v>
      </c>
    </row>
    <row r="19" spans="2:5" ht="13.5" customHeight="1">
      <c r="B19" s="49"/>
      <c r="D19" s="40" t="s">
        <v>93</v>
      </c>
      <c r="E19" s="41">
        <v>1.67</v>
      </c>
    </row>
    <row r="20" spans="2:5" ht="13.5" customHeight="1">
      <c r="B20" s="50"/>
      <c r="D20" s="40" t="s">
        <v>94</v>
      </c>
      <c r="E20" s="41">
        <v>1.57</v>
      </c>
    </row>
    <row r="21" spans="4:5" ht="13.5" customHeight="1">
      <c r="D21" s="40" t="s">
        <v>95</v>
      </c>
      <c r="E21" s="41">
        <v>1.47</v>
      </c>
    </row>
    <row r="22" spans="4:5" ht="13.5" customHeight="1">
      <c r="D22" s="40" t="s">
        <v>96</v>
      </c>
      <c r="E22" s="41">
        <v>1.34</v>
      </c>
    </row>
    <row r="23" spans="4:5" ht="13.5" customHeight="1">
      <c r="D23" s="40" t="s">
        <v>97</v>
      </c>
      <c r="E23" s="41">
        <v>1.34</v>
      </c>
    </row>
    <row r="24" spans="4:5" ht="13.5" customHeight="1">
      <c r="D24" s="40" t="s">
        <v>98</v>
      </c>
      <c r="E24" s="41">
        <v>1.3</v>
      </c>
    </row>
    <row r="25" spans="4:5" ht="13.5" customHeight="1">
      <c r="D25" s="40" t="s">
        <v>108</v>
      </c>
      <c r="E25" s="41">
        <v>1.27</v>
      </c>
    </row>
    <row r="26" spans="4:5" ht="13.5" customHeight="1">
      <c r="D26" s="40" t="s">
        <v>99</v>
      </c>
      <c r="E26" s="41">
        <v>1.25</v>
      </c>
    </row>
    <row r="27" spans="4:5" ht="13.5" customHeight="1">
      <c r="D27" s="40" t="s">
        <v>137</v>
      </c>
      <c r="E27" s="41">
        <v>1.24</v>
      </c>
    </row>
    <row r="28" spans="4:5" ht="13.5" customHeight="1">
      <c r="D28" s="40" t="s">
        <v>100</v>
      </c>
      <c r="E28" s="41">
        <v>1.22</v>
      </c>
    </row>
    <row r="29" spans="4:5" ht="13.5" customHeight="1">
      <c r="D29" s="45" t="s">
        <v>138</v>
      </c>
      <c r="E29" s="46">
        <v>1.15</v>
      </c>
    </row>
    <row r="30" spans="4:5" ht="13.5" customHeight="1">
      <c r="D30" s="40" t="s">
        <v>101</v>
      </c>
      <c r="E30" s="41">
        <v>1.11</v>
      </c>
    </row>
    <row r="31" spans="4:5" ht="13.5" customHeight="1">
      <c r="D31" s="40" t="s">
        <v>139</v>
      </c>
      <c r="E31" s="41">
        <v>1.05</v>
      </c>
    </row>
    <row r="32" spans="4:5" ht="13.5" customHeight="1">
      <c r="D32" s="40" t="s">
        <v>109</v>
      </c>
      <c r="E32" s="41">
        <v>1</v>
      </c>
    </row>
    <row r="33" spans="4:5" ht="13.5" customHeight="1">
      <c r="D33" s="40" t="s">
        <v>110</v>
      </c>
      <c r="E33" s="41">
        <v>1</v>
      </c>
    </row>
    <row r="34" spans="4:5" ht="13.5" customHeight="1">
      <c r="D34" s="40" t="s">
        <v>111</v>
      </c>
      <c r="E34" s="41">
        <v>0.98</v>
      </c>
    </row>
    <row r="35" spans="4:5" ht="13.5" customHeight="1">
      <c r="D35" s="40" t="s">
        <v>140</v>
      </c>
      <c r="E35" s="41">
        <v>0.96</v>
      </c>
    </row>
    <row r="36" spans="4:5" ht="13.5" customHeight="1">
      <c r="D36" s="40" t="s">
        <v>141</v>
      </c>
      <c r="E36" s="41">
        <v>0.94</v>
      </c>
    </row>
    <row r="37" spans="4:5" ht="13.5" customHeight="1">
      <c r="D37" s="40" t="s">
        <v>112</v>
      </c>
      <c r="E37" s="41">
        <v>0.93</v>
      </c>
    </row>
    <row r="38" spans="4:5" ht="13.5" customHeight="1">
      <c r="D38" s="40" t="s">
        <v>102</v>
      </c>
      <c r="E38" s="41">
        <v>0.91</v>
      </c>
    </row>
    <row r="39" spans="4:5" ht="13.5" customHeight="1">
      <c r="D39" s="40" t="s">
        <v>113</v>
      </c>
      <c r="E39" s="41">
        <v>0.9</v>
      </c>
    </row>
    <row r="40" spans="4:5" ht="13.5" customHeight="1">
      <c r="D40" s="40" t="s">
        <v>114</v>
      </c>
      <c r="E40" s="41">
        <v>0.86</v>
      </c>
    </row>
    <row r="41" spans="4:5" ht="13.5" customHeight="1">
      <c r="D41" s="40" t="s">
        <v>103</v>
      </c>
      <c r="E41" s="41">
        <v>0.81</v>
      </c>
    </row>
    <row r="42" spans="4:5" ht="13.5" customHeight="1">
      <c r="D42" s="40" t="s">
        <v>104</v>
      </c>
      <c r="E42" s="41">
        <v>0.8</v>
      </c>
    </row>
    <row r="43" spans="4:5" ht="13.5" customHeight="1">
      <c r="D43" s="40" t="s">
        <v>105</v>
      </c>
      <c r="E43" s="41">
        <v>0.8</v>
      </c>
    </row>
    <row r="44" spans="4:5" ht="13.5" customHeight="1">
      <c r="D44" s="40" t="s">
        <v>106</v>
      </c>
      <c r="E44" s="41">
        <v>0.8</v>
      </c>
    </row>
    <row r="45" spans="4:5" ht="13.5" customHeight="1">
      <c r="D45" s="40" t="s">
        <v>115</v>
      </c>
      <c r="E45" s="41">
        <v>0.79</v>
      </c>
    </row>
    <row r="46" spans="4:5" ht="13.5" customHeight="1">
      <c r="D46" s="40" t="s">
        <v>116</v>
      </c>
      <c r="E46" s="41">
        <v>0.76</v>
      </c>
    </row>
    <row r="47" spans="4:5" ht="13.5" customHeight="1">
      <c r="D47" s="40" t="s">
        <v>117</v>
      </c>
      <c r="E47" s="41">
        <v>0.74</v>
      </c>
    </row>
    <row r="48" spans="4:5" ht="45" customHeight="1">
      <c r="D48" s="40" t="s">
        <v>136</v>
      </c>
      <c r="E48" s="41">
        <v>2.78</v>
      </c>
    </row>
    <row r="49" spans="4:5" ht="13.5" customHeight="1">
      <c r="D49" s="40" t="s">
        <v>118</v>
      </c>
      <c r="E49" s="41">
        <v>2.71</v>
      </c>
    </row>
    <row r="50" spans="4:5" ht="13.5" customHeight="1">
      <c r="D50" s="40" t="s">
        <v>119</v>
      </c>
      <c r="E50" s="41">
        <v>2.64</v>
      </c>
    </row>
    <row r="51" spans="4:5" ht="13.5" customHeight="1">
      <c r="D51" s="40" t="s">
        <v>120</v>
      </c>
      <c r="E51" s="41">
        <v>2.57</v>
      </c>
    </row>
    <row r="52" spans="4:5" ht="13.5" customHeight="1">
      <c r="D52" s="40" t="s">
        <v>121</v>
      </c>
      <c r="E52" s="41">
        <v>2.5</v>
      </c>
    </row>
    <row r="53" spans="4:5" ht="13.5" customHeight="1">
      <c r="D53" s="40" t="s">
        <v>122</v>
      </c>
      <c r="E53" s="41">
        <v>2.44</v>
      </c>
    </row>
    <row r="54" spans="4:5" ht="13.5" customHeight="1">
      <c r="D54" s="40" t="s">
        <v>123</v>
      </c>
      <c r="E54" s="41">
        <v>2.38</v>
      </c>
    </row>
    <row r="55" spans="4:5" ht="13.5" customHeight="1">
      <c r="D55" s="40" t="s">
        <v>124</v>
      </c>
      <c r="E55" s="41">
        <v>2.33</v>
      </c>
    </row>
    <row r="56" spans="4:5" ht="13.5" customHeight="1">
      <c r="D56" s="40" t="s">
        <v>125</v>
      </c>
      <c r="E56" s="41">
        <v>2.28</v>
      </c>
    </row>
    <row r="57" spans="4:5" ht="13.5" customHeight="1">
      <c r="D57" s="40" t="s">
        <v>126</v>
      </c>
      <c r="E57" s="41">
        <v>2.23</v>
      </c>
    </row>
    <row r="58" spans="4:5" ht="13.5" customHeight="1">
      <c r="D58" s="40" t="s">
        <v>127</v>
      </c>
      <c r="E58" s="41">
        <v>2.18</v>
      </c>
    </row>
    <row r="59" spans="4:5" ht="13.5" customHeight="1">
      <c r="D59" s="40" t="s">
        <v>128</v>
      </c>
      <c r="E59" s="41">
        <v>2.13</v>
      </c>
    </row>
    <row r="60" spans="4:5" ht="13.5" customHeight="1">
      <c r="D60" s="40" t="s">
        <v>129</v>
      </c>
      <c r="E60" s="41">
        <v>2.09</v>
      </c>
    </row>
    <row r="61" spans="4:5" ht="13.5" customHeight="1">
      <c r="D61" s="40" t="s">
        <v>130</v>
      </c>
      <c r="E61" s="41">
        <v>2.04</v>
      </c>
    </row>
    <row r="62" spans="4:5" ht="13.5" customHeight="1">
      <c r="D62" s="40" t="s">
        <v>135</v>
      </c>
      <c r="E62" s="41">
        <v>2</v>
      </c>
    </row>
    <row r="63" spans="4:5" ht="13.5" customHeight="1">
      <c r="D63" s="40" t="s">
        <v>131</v>
      </c>
      <c r="E63" s="41">
        <v>1.97</v>
      </c>
    </row>
    <row r="64" spans="4:5" ht="13.5" customHeight="1">
      <c r="D64" s="40" t="s">
        <v>132</v>
      </c>
      <c r="E64" s="41">
        <v>1.93</v>
      </c>
    </row>
    <row r="65" spans="4:5" ht="13.5" customHeight="1">
      <c r="D65" s="40" t="s">
        <v>133</v>
      </c>
      <c r="E65" s="41">
        <v>1.89</v>
      </c>
    </row>
    <row r="66" spans="4:5" ht="13.5" customHeight="1">
      <c r="D66" s="40" t="s">
        <v>134</v>
      </c>
      <c r="E66" s="41">
        <v>1.86</v>
      </c>
    </row>
    <row r="67" spans="4:5" ht="58.5" customHeight="1">
      <c r="D67" s="40" t="s">
        <v>107</v>
      </c>
      <c r="E67" s="41" t="s">
        <v>158</v>
      </c>
    </row>
  </sheetData>
  <sheetProtection/>
  <mergeCells count="2">
    <mergeCell ref="B15:B16"/>
    <mergeCell ref="B17:B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Izumi-shi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OA10320</dc:creator>
  <cp:keywords/>
  <dc:description/>
  <cp:lastModifiedBy>OA10320</cp:lastModifiedBy>
  <cp:lastPrinted>2016-12-02T06:21:53Z</cp:lastPrinted>
  <dcterms:created xsi:type="dcterms:W3CDTF">2016-11-08T05:17:05Z</dcterms:created>
  <dcterms:modified xsi:type="dcterms:W3CDTF">2016-12-02T06:23:35Z</dcterms:modified>
  <cp:category/>
  <cp:version/>
  <cp:contentType/>
  <cp:contentStatus/>
</cp:coreProperties>
</file>