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1490"/>
  </bookViews>
  <sheets>
    <sheet name="試算シート" sheetId="1" r:id="rId1"/>
    <sheet name="所得計算" sheetId="4" state="hidden" r:id="rId2"/>
    <sheet name="保険料計算" sheetId="5" state="hidden" r:id="rId3"/>
    <sheet name="料率入力欄" sheetId="3" state="hidden" r:id="rId4"/>
    <sheet name="収入・所得の確認" sheetId="6" r:id="rId5"/>
  </sheets>
  <definedNames>
    <definedName name="_xlnm.Print_Area" localSheetId="0">試算シート!$A$1:$L$80</definedName>
    <definedName name="_xlnm.Print_Area" localSheetId="3">料率入力欄!$A$1:$N$24</definedName>
    <definedName name="_xlnm.Print_Area" localSheetId="1">所得計算!$A$1:$P$19</definedName>
    <definedName name="_xlnm.Print_Area" localSheetId="2">保険料計算!$A$1:$N$45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<sst xmlns="http://schemas.openxmlformats.org/spreadsheetml/2006/main" xmlns:r="http://schemas.openxmlformats.org/officeDocument/2006/relationships" count="114" uniqueCount="114">
  <si>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年齢</t>
    <rPh sb="0" eb="2">
      <t>ネンレイ</t>
    </rPh>
    <phoneticPr fontId="1"/>
  </si>
  <si>
    <t>給与所得</t>
    <rPh sb="0" eb="4">
      <t>キュウヨショトク</t>
    </rPh>
    <phoneticPr fontId="1"/>
  </si>
  <si>
    <t>年金収入</t>
    <rPh sb="0" eb="4">
      <t>ネンキンシュウニュウ</t>
    </rPh>
    <phoneticPr fontId="1"/>
  </si>
  <si>
    <t>軽減
判定金額</t>
    <rPh sb="0" eb="2">
      <t>ケイゲン</t>
    </rPh>
    <rPh sb="3" eb="5">
      <t>ハンテイ</t>
    </rPh>
    <rPh sb="5" eb="7">
      <t>キンガク</t>
    </rPh>
    <phoneticPr fontId="1"/>
  </si>
  <si>
    <t>世帯
所得者数</t>
    <rPh sb="0" eb="2">
      <t>セタイ</t>
    </rPh>
    <rPh sb="3" eb="6">
      <t>ショトクシャ</t>
    </rPh>
    <rPh sb="6" eb="7">
      <t>スウ</t>
    </rPh>
    <phoneticPr fontId="1"/>
  </si>
  <si>
    <t>4,100,001~7,700,000</t>
  </si>
  <si>
    <t>所得割率</t>
    <rPh sb="0" eb="3">
      <t>ショトクワリ</t>
    </rPh>
    <rPh sb="3" eb="4">
      <t>リツ</t>
    </rPh>
    <phoneticPr fontId="1"/>
  </si>
  <si>
    <t>給与収入</t>
    <rPh sb="0" eb="4">
      <t>キュウヨシュウニュウ</t>
    </rPh>
    <phoneticPr fontId="1"/>
  </si>
  <si>
    <t>年金所得</t>
    <rPh sb="0" eb="4">
      <t>ネンキンショトク</t>
    </rPh>
    <phoneticPr fontId="1"/>
  </si>
  <si>
    <t>世帯員３</t>
    <rPh sb="0" eb="3">
      <t>セタイイン</t>
    </rPh>
    <phoneticPr fontId="1"/>
  </si>
  <si>
    <t>それ以外の
所得</t>
    <rPh sb="2" eb="4">
      <t>イガイ</t>
    </rPh>
    <rPh sb="6" eb="8">
      <t>ショトク</t>
    </rPh>
    <phoneticPr fontId="1"/>
  </si>
  <si>
    <t>年間保険料金額</t>
    <rPh sb="0" eb="7">
      <t>ネンカンホケンリョウキンガク</t>
    </rPh>
    <phoneticPr fontId="1"/>
  </si>
  <si>
    <t>合計所得</t>
    <rPh sb="0" eb="4">
      <t>ゴウケイショトク</t>
    </rPh>
    <phoneticPr fontId="1"/>
  </si>
  <si>
    <t>保険料限度額</t>
    <rPh sb="0" eb="6">
      <t>ホケンリョウゲンドガク</t>
    </rPh>
    <phoneticPr fontId="1"/>
  </si>
  <si>
    <t>所得</t>
    <rPh sb="0" eb="2">
      <t>ショトク</t>
    </rPh>
    <phoneticPr fontId="1"/>
  </si>
  <si>
    <t>医療</t>
    <rPh sb="0" eb="2">
      <t>イリョウ</t>
    </rPh>
    <phoneticPr fontId="1"/>
  </si>
  <si>
    <t>料率
基本料金</t>
    <rPh sb="0" eb="2">
      <t>リョウリツ</t>
    </rPh>
    <rPh sb="3" eb="7">
      <t>キホンリョウキン</t>
    </rPh>
    <phoneticPr fontId="1"/>
  </si>
  <si>
    <t>世帯主</t>
    <rPh sb="0" eb="3">
      <t>セタイヌシ</t>
    </rPh>
    <phoneticPr fontId="1"/>
  </si>
  <si>
    <t>世帯員２</t>
    <rPh sb="0" eb="3">
      <t>セタイイン</t>
    </rPh>
    <phoneticPr fontId="1"/>
  </si>
  <si>
    <t>・倒産・解雇や雇い止めなどにより離職された方（非自発的失業者）に対する軽減措置に該当する場合</t>
    <rPh sb="1" eb="3">
      <t>トウサン</t>
    </rPh>
    <rPh sb="4" eb="6">
      <t>カイコ</t>
    </rPh>
    <rPh sb="7" eb="8">
      <t>ヤト</t>
    </rPh>
    <rPh sb="9" eb="10">
      <t>ド</t>
    </rPh>
    <rPh sb="16" eb="18">
      <t>リショク</t>
    </rPh>
    <rPh sb="21" eb="22">
      <t>カタ</t>
    </rPh>
    <rPh sb="23" eb="24">
      <t>ヒ</t>
    </rPh>
    <rPh sb="24" eb="27">
      <t>ジハツテキ</t>
    </rPh>
    <rPh sb="27" eb="30">
      <t>シツギョウシャ</t>
    </rPh>
    <rPh sb="32" eb="33">
      <t>タイ</t>
    </rPh>
    <rPh sb="35" eb="37">
      <t>ケイゲン</t>
    </rPh>
    <rPh sb="37" eb="39">
      <t>ソチ</t>
    </rPh>
    <rPh sb="40" eb="42">
      <t>ガイトウ</t>
    </rPh>
    <rPh sb="44" eb="46">
      <t>バアイ</t>
    </rPh>
    <phoneticPr fontId="1"/>
  </si>
  <si>
    <t>均等割額</t>
    <rPh sb="0" eb="3">
      <t>キントウワ</t>
    </rPh>
    <rPh sb="3" eb="4">
      <t>ガク</t>
    </rPh>
    <phoneticPr fontId="1"/>
  </si>
  <si>
    <t>子ども軽減額</t>
    <rPh sb="0" eb="1">
      <t>コ</t>
    </rPh>
    <rPh sb="3" eb="6">
      <t>ケイゲンガク</t>
    </rPh>
    <phoneticPr fontId="1"/>
  </si>
  <si>
    <t>平等割額</t>
    <rPh sb="0" eb="4">
      <t>ビョウドウワリガク</t>
    </rPh>
    <phoneticPr fontId="1"/>
  </si>
  <si>
    <t>3,604,000~6,599,999</t>
  </si>
  <si>
    <t>支援金</t>
    <rPh sb="0" eb="3">
      <t>シエンキン</t>
    </rPh>
    <phoneticPr fontId="1"/>
  </si>
  <si>
    <t>世帯員１</t>
    <rPh sb="0" eb="3">
      <t>セタイイン</t>
    </rPh>
    <phoneticPr fontId="1"/>
  </si>
  <si>
    <t>介護</t>
    <rPh sb="0" eb="2">
      <t>カイゴ</t>
    </rPh>
    <phoneticPr fontId="1"/>
  </si>
  <si>
    <t>③</t>
  </si>
  <si>
    <t>調整控除後</t>
    <rPh sb="0" eb="5">
      <t>チョウセイコウジョゴ</t>
    </rPh>
    <phoneticPr fontId="1"/>
  </si>
  <si>
    <t>軽減額</t>
    <rPh sb="0" eb="3">
      <t>ケイゲンガク</t>
    </rPh>
    <phoneticPr fontId="1"/>
  </si>
  <si>
    <t>区分（割）</t>
    <rPh sb="0" eb="2">
      <t>クブン</t>
    </rPh>
    <rPh sb="3" eb="4">
      <t>ワ</t>
    </rPh>
    <phoneticPr fontId="1"/>
  </si>
  <si>
    <t>７割</t>
    <rPh sb="1" eb="2">
      <t>ワリ</t>
    </rPh>
    <phoneticPr fontId="1"/>
  </si>
  <si>
    <t>軽減均等割額</t>
    <rPh sb="0" eb="6">
      <t>ケイゲンキントウワリガク</t>
    </rPh>
    <phoneticPr fontId="1"/>
  </si>
  <si>
    <t>1,300,001~4,100,000</t>
  </si>
  <si>
    <t>２割</t>
    <rPh sb="1" eb="2">
      <t>ワリ</t>
    </rPh>
    <phoneticPr fontId="1"/>
  </si>
  <si>
    <t>平等割額</t>
    <rPh sb="0" eb="3">
      <t>ビョウドウワリ</t>
    </rPh>
    <rPh sb="3" eb="4">
      <t>ガク</t>
    </rPh>
    <phoneticPr fontId="1"/>
  </si>
  <si>
    <t>加入する</t>
    <rPh sb="0" eb="2">
      <t>カニュウ</t>
    </rPh>
    <phoneticPr fontId="1"/>
  </si>
  <si>
    <t>①</t>
  </si>
  <si>
    <t>②</t>
  </si>
  <si>
    <t>５割</t>
    <rPh sb="1" eb="2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</si>
  <si>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</si>
  <si>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</si>
  <si>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</si>
  <si>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</si>
  <si>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</si>
  <si>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世帯員４</t>
    <rPh sb="0" eb="3">
      <t>セタイイン</t>
    </rPh>
    <phoneticPr fontId="1"/>
  </si>
  <si>
    <t>世帯員５</t>
    <rPh sb="0" eb="3">
      <t>セタイイン</t>
    </rPh>
    <phoneticPr fontId="1"/>
  </si>
  <si>
    <t>6,600,000~8,500,000</t>
  </si>
  <si>
    <t>所得割</t>
    <rPh sb="0" eb="3">
      <t>ショトクワリ</t>
    </rPh>
    <phoneticPr fontId="1"/>
  </si>
  <si>
    <t>8,500,001~</t>
  </si>
  <si>
    <t>～1,300,000</t>
  </si>
  <si>
    <t>65歳未満　年金以外合計所得　1,000万円以下</t>
    <rPh sb="2" eb="5">
      <t>サイミマン</t>
    </rPh>
    <rPh sb="6" eb="10">
      <t>ネンキンイガイ</t>
    </rPh>
    <rPh sb="10" eb="14">
      <t>ゴウケイショトク</t>
    </rPh>
    <rPh sb="21" eb="22">
      <t>エン</t>
    </rPh>
    <rPh sb="22" eb="24">
      <t>イカ</t>
    </rPh>
    <phoneticPr fontId="1"/>
  </si>
  <si>
    <t>65歳以上　年金以外合計所得　1,000万円以下</t>
    <rPh sb="2" eb="5">
      <t>サイイジョウ</t>
    </rPh>
    <rPh sb="6" eb="10">
      <t>ネンキンイガイ</t>
    </rPh>
    <rPh sb="10" eb="14">
      <t>ゴウケイショトク</t>
    </rPh>
    <rPh sb="21" eb="22">
      <t>エン</t>
    </rPh>
    <rPh sb="22" eb="24">
      <t>イカ</t>
    </rPh>
    <phoneticPr fontId="1"/>
  </si>
  <si>
    <t>調整控除前</t>
    <rPh sb="0" eb="4">
      <t>チョウセイコウジョ</t>
    </rPh>
    <rPh sb="4" eb="5">
      <t>マエ</t>
    </rPh>
    <phoneticPr fontId="1"/>
  </si>
  <si>
    <t>世帯</t>
    <rPh sb="0" eb="2">
      <t>セタイ</t>
    </rPh>
    <phoneticPr fontId="1"/>
  </si>
  <si>
    <t>7,700,001~10,000,000</t>
  </si>
  <si>
    <t>10,000,001~</t>
  </si>
  <si>
    <t>～3,300,000</t>
  </si>
  <si>
    <t>3,300,001~4,100,000</t>
  </si>
  <si>
    <t>年金額</t>
    <rPh sb="0" eb="3">
      <t>ネンキンガク</t>
    </rPh>
    <phoneticPr fontId="1"/>
  </si>
  <si>
    <t>給与所得（調整控除前）</t>
    <rPh sb="0" eb="4">
      <t>キュウヨショトク</t>
    </rPh>
    <rPh sb="5" eb="10">
      <t>チョウセイコウジョマエ</t>
    </rPh>
    <phoneticPr fontId="1"/>
  </si>
  <si>
    <t>年金所得</t>
    <rPh sb="0" eb="2">
      <t>ネンキン</t>
    </rPh>
    <rPh sb="2" eb="4">
      <t>ショトク</t>
    </rPh>
    <phoneticPr fontId="1"/>
  </si>
  <si>
    <t>給与額</t>
    <rPh sb="0" eb="3">
      <t>キュウヨガク</t>
    </rPh>
    <phoneticPr fontId="1"/>
  </si>
  <si>
    <t>医療分</t>
    <rPh sb="0" eb="3">
      <t>イリョウブン</t>
    </rPh>
    <phoneticPr fontId="1"/>
  </si>
  <si>
    <t>軽減割合</t>
    <rPh sb="0" eb="4">
      <t>ケイゲンワリアイ</t>
    </rPh>
    <phoneticPr fontId="1"/>
  </si>
  <si>
    <t>被保険者数</t>
    <rPh sb="0" eb="5">
      <t>ヒホケンシャスウ</t>
    </rPh>
    <phoneticPr fontId="1"/>
  </si>
  <si>
    <t>給与
所得者等か</t>
    <rPh sb="0" eb="2">
      <t>キュウヨ</t>
    </rPh>
    <rPh sb="3" eb="5">
      <t>ショトク</t>
    </rPh>
    <rPh sb="5" eb="6">
      <t>シャ</t>
    </rPh>
    <rPh sb="6" eb="7">
      <t>トウ</t>
    </rPh>
    <phoneticPr fontId="1"/>
  </si>
  <si>
    <t>均等割</t>
    <rPh sb="0" eb="3">
      <t>キントウワ</t>
    </rPh>
    <phoneticPr fontId="1"/>
  </si>
  <si>
    <t>均等割
（7割）</t>
    <rPh sb="0" eb="3">
      <t>キントウワ</t>
    </rPh>
    <rPh sb="6" eb="7">
      <t>ワリ</t>
    </rPh>
    <phoneticPr fontId="1"/>
  </si>
  <si>
    <t>均等割
（5割）</t>
    <rPh sb="0" eb="3">
      <t>キントウワ</t>
    </rPh>
    <rPh sb="6" eb="7">
      <t>ワリ</t>
    </rPh>
    <phoneticPr fontId="1"/>
  </si>
  <si>
    <t>均等割
（2割）</t>
    <rPh sb="0" eb="3">
      <t>キントウワ</t>
    </rPh>
    <rPh sb="6" eb="7">
      <t>ワリ</t>
    </rPh>
    <phoneticPr fontId="1"/>
  </si>
  <si>
    <t>均等割
（子・7割）</t>
    <rPh sb="0" eb="3">
      <t>キントウワ</t>
    </rPh>
    <rPh sb="5" eb="6">
      <t>コ</t>
    </rPh>
    <rPh sb="8" eb="9">
      <t>ワリ</t>
    </rPh>
    <phoneticPr fontId="1"/>
  </si>
  <si>
    <t>均等割
（子・5割）</t>
    <rPh sb="0" eb="3">
      <t>キントウワ</t>
    </rPh>
    <rPh sb="5" eb="6">
      <t>コ</t>
    </rPh>
    <rPh sb="8" eb="9">
      <t>ワリ</t>
    </rPh>
    <phoneticPr fontId="1"/>
  </si>
  <si>
    <t>均等割
（子・2割）</t>
    <rPh sb="0" eb="3">
      <t>キントウワ</t>
    </rPh>
    <rPh sb="5" eb="6">
      <t>コ</t>
    </rPh>
    <rPh sb="8" eb="9">
      <t>ワリ</t>
    </rPh>
    <phoneticPr fontId="1"/>
  </si>
  <si>
    <t>均等割
（子）</t>
    <rPh sb="0" eb="3">
      <t>キントウワ</t>
    </rPh>
    <rPh sb="5" eb="6">
      <t>コ</t>
    </rPh>
    <phoneticPr fontId="1"/>
  </si>
  <si>
    <t>平等割</t>
    <rPh sb="0" eb="3">
      <t>ビョウドウワリ</t>
    </rPh>
    <phoneticPr fontId="1"/>
  </si>
  <si>
    <t>平等割
（7割）</t>
    <rPh sb="0" eb="2">
      <t>ビョウドウ</t>
    </rPh>
    <rPh sb="2" eb="3">
      <t>ワリ</t>
    </rPh>
    <rPh sb="6" eb="7">
      <t>ワリ</t>
    </rPh>
    <phoneticPr fontId="1"/>
  </si>
  <si>
    <t>平等割
（5割）</t>
    <rPh sb="0" eb="2">
      <t>ビョウドウ</t>
    </rPh>
    <rPh sb="2" eb="3">
      <t>ワリ</t>
    </rPh>
    <rPh sb="6" eb="7">
      <t>ワリ</t>
    </rPh>
    <phoneticPr fontId="1"/>
  </si>
  <si>
    <t>平等割
（2割）</t>
    <rPh sb="0" eb="2">
      <t>ビョウドウ</t>
    </rPh>
    <rPh sb="2" eb="3">
      <t>ワリ</t>
    </rPh>
    <rPh sb="6" eb="7">
      <t>ワリ</t>
    </rPh>
    <phoneticPr fontId="1"/>
  </si>
  <si>
    <t>支援金分</t>
    <rPh sb="0" eb="3">
      <t>シエンキン</t>
    </rPh>
    <rPh sb="3" eb="4">
      <t>ブン</t>
    </rPh>
    <phoneticPr fontId="1"/>
  </si>
  <si>
    <t>介護分</t>
    <rPh sb="0" eb="2">
      <t>カイゴ</t>
    </rPh>
    <rPh sb="2" eb="3">
      <t>ブン</t>
    </rPh>
    <phoneticPr fontId="1"/>
  </si>
  <si>
    <t>軽減平等割額</t>
    <rPh sb="0" eb="1">
      <t>ケイ</t>
    </rPh>
    <rPh sb="2" eb="4">
      <t>ビョウドウ</t>
    </rPh>
    <rPh sb="4" eb="5">
      <t>ワリ</t>
    </rPh>
    <rPh sb="5" eb="6">
      <t>ガク</t>
    </rPh>
    <phoneticPr fontId="1"/>
  </si>
  <si>
    <t>試算結果はこちら</t>
    <rPh sb="0" eb="4">
      <t>シサンケッカ</t>
    </rPh>
    <phoneticPr fontId="1"/>
  </si>
  <si>
    <t>賦課限度額</t>
    <rPh sb="0" eb="5">
      <t>フカゲンドガク</t>
    </rPh>
    <phoneticPr fontId="1"/>
  </si>
  <si>
    <t>後期高齢者支援金分</t>
    <rPh sb="0" eb="5">
      <t>コウキコウレイシャ</t>
    </rPh>
    <rPh sb="5" eb="9">
      <t>シエンキンブン</t>
    </rPh>
    <phoneticPr fontId="1"/>
  </si>
  <si>
    <t>介護納付金分
（40歳～65歳未満対象）</t>
    <rPh sb="0" eb="6">
      <t>カイゴノウフキンブン</t>
    </rPh>
    <rPh sb="10" eb="11">
      <t>サイ</t>
    </rPh>
    <rPh sb="14" eb="17">
      <t>サイミマン</t>
    </rPh>
    <rPh sb="17" eb="19">
      <t>タイショウ</t>
    </rPh>
    <phoneticPr fontId="1"/>
  </si>
  <si>
    <t>金額内訳</t>
    <rPh sb="0" eb="4">
      <t>キンガクウチワケ</t>
    </rPh>
    <phoneticPr fontId="1"/>
  </si>
  <si>
    <t>合計額</t>
    <rPh sb="0" eb="3">
      <t>ゴウケイガク</t>
    </rPh>
    <phoneticPr fontId="1"/>
  </si>
  <si>
    <t>1か月あたりの保険料金額</t>
    <rPh sb="2" eb="3">
      <t>ゲツ</t>
    </rPh>
    <rPh sb="7" eb="10">
      <t>ホケンリョウ</t>
    </rPh>
    <rPh sb="10" eb="12">
      <t>キンガク</t>
    </rPh>
    <phoneticPr fontId="1"/>
  </si>
  <si>
    <t>　</t>
  </si>
  <si>
    <t>計算の基となる所得</t>
    <rPh sb="0" eb="2">
      <t>ケイサン</t>
    </rPh>
    <rPh sb="3" eb="4">
      <t>モト</t>
    </rPh>
    <rPh sb="7" eb="9">
      <t>ショトク</t>
    </rPh>
    <phoneticPr fontId="1"/>
  </si>
  <si>
    <t>←軽減判定所得の見直しは、ここの式を修正</t>
    <rPh sb="1" eb="5">
      <t>ケイゲンハンテイ</t>
    </rPh>
    <rPh sb="5" eb="7">
      <t>ショトク</t>
    </rPh>
    <rPh sb="8" eb="10">
      <t>ミナオ</t>
    </rPh>
    <rPh sb="16" eb="17">
      <t>シキ</t>
    </rPh>
    <rPh sb="18" eb="20">
      <t>シュウセイ</t>
    </rPh>
    <phoneticPr fontId="1"/>
  </si>
  <si>
    <t>・障害年金・遺族年金・失業保険などの非課税所得は入力不要です。</t>
    <rPh sb="1" eb="5">
      <t>ショウガイネンキン</t>
    </rPh>
    <rPh sb="6" eb="10">
      <t>イゾクネンキン</t>
    </rPh>
    <rPh sb="11" eb="13">
      <t>シツギョウ</t>
    </rPh>
    <rPh sb="13" eb="15">
      <t>ホケン</t>
    </rPh>
    <rPh sb="18" eb="21">
      <t>ヒカゼイ</t>
    </rPh>
    <rPh sb="21" eb="23">
      <t>ショトク</t>
    </rPh>
    <rPh sb="24" eb="28">
      <t>ニュウリョクフヨウ</t>
    </rPh>
    <phoneticPr fontId="1"/>
  </si>
  <si>
    <t>・専従者給与収入・専従者控除がある場合</t>
    <rPh sb="6" eb="8">
      <t>シュウニュウ</t>
    </rPh>
    <rPh sb="9" eb="12">
      <t>センジュウシャ</t>
    </rPh>
    <rPh sb="12" eb="14">
      <t>コウジョ</t>
    </rPh>
    <rPh sb="17" eb="19">
      <t>バアイ</t>
    </rPh>
    <phoneticPr fontId="1"/>
  </si>
  <si>
    <t>・分離課税所得や繰越損失額がある場合</t>
    <rPh sb="3" eb="5">
      <t>カゼイ</t>
    </rPh>
    <rPh sb="5" eb="7">
      <t>ショトク</t>
    </rPh>
    <rPh sb="12" eb="13">
      <t>ガク</t>
    </rPh>
    <rPh sb="16" eb="18">
      <t>バアイ</t>
    </rPh>
    <phoneticPr fontId="1"/>
  </si>
  <si>
    <t>・年金収入があり、年金以外の合計所得金額が1,000万円を超える場合</t>
    <rPh sb="1" eb="5">
      <t>ネンキンシュウニュウ</t>
    </rPh>
    <rPh sb="9" eb="11">
      <t>ネンキン</t>
    </rPh>
    <rPh sb="11" eb="13">
      <t>イガイ</t>
    </rPh>
    <rPh sb="14" eb="16">
      <t>ゴウケイ</t>
    </rPh>
    <rPh sb="16" eb="18">
      <t>ショトク</t>
    </rPh>
    <rPh sb="18" eb="20">
      <t>キンガク</t>
    </rPh>
    <rPh sb="26" eb="27">
      <t>マン</t>
    </rPh>
    <rPh sb="27" eb="28">
      <t>エン</t>
    </rPh>
    <rPh sb="29" eb="30">
      <t>コ</t>
    </rPh>
    <rPh sb="32" eb="34">
      <t>バアイ</t>
    </rPh>
    <phoneticPr fontId="1"/>
  </si>
  <si>
    <t>※次の場合の保険料計算には対応していません。</t>
    <rPh sb="1" eb="2">
      <t>ツギ</t>
    </rPh>
    <rPh sb="3" eb="5">
      <t>バアイ</t>
    </rPh>
    <rPh sb="6" eb="8">
      <t>ホケン</t>
    </rPh>
    <rPh sb="8" eb="9">
      <t>リョウ</t>
    </rPh>
    <rPh sb="9" eb="11">
      <t>ケイサン</t>
    </rPh>
    <rPh sb="13" eb="15">
      <t>タイオウ</t>
    </rPh>
    <phoneticPr fontId="1"/>
  </si>
  <si>
    <t>・産前産後期間に係る軽減措置に該当する場合</t>
    <rPh sb="1" eb="3">
      <t>サンゼン</t>
    </rPh>
    <rPh sb="3" eb="5">
      <t>サンゴ</t>
    </rPh>
    <rPh sb="5" eb="7">
      <t>キカン</t>
    </rPh>
    <rPh sb="8" eb="9">
      <t>カカ</t>
    </rPh>
    <rPh sb="10" eb="12">
      <t>ケイゲン</t>
    </rPh>
    <rPh sb="12" eb="14">
      <t>ソチ</t>
    </rPh>
    <rPh sb="15" eb="17">
      <t>ガイトウ</t>
    </rPh>
    <rPh sb="19" eb="21">
      <t>バアイ</t>
    </rPh>
    <phoneticPr fontId="1"/>
  </si>
  <si>
    <t>※上記結果はあくまでも簡易試算であり、実際の保険料額と異なる場合があります。</t>
    <rPh sb="1" eb="3">
      <t>ジョウキ</t>
    </rPh>
    <rPh sb="3" eb="5">
      <t>ケッカ</t>
    </rPh>
    <rPh sb="11" eb="13">
      <t>カンイ</t>
    </rPh>
    <rPh sb="13" eb="15">
      <t>シサン</t>
    </rPh>
    <rPh sb="19" eb="21">
      <t>ジッサイ</t>
    </rPh>
    <rPh sb="22" eb="25">
      <t>ホケンリョウ</t>
    </rPh>
    <rPh sb="25" eb="26">
      <t>ガク</t>
    </rPh>
    <rPh sb="27" eb="28">
      <t>コト</t>
    </rPh>
    <rPh sb="30" eb="32">
      <t>バアイ</t>
    </rPh>
    <phoneticPr fontId="1"/>
  </si>
  <si>
    <t>所得割額</t>
    <rPh sb="0" eb="3">
      <t>ショトクワリ</t>
    </rPh>
    <rPh sb="3" eb="4">
      <t>ガク</t>
    </rPh>
    <phoneticPr fontId="1"/>
  </si>
  <si>
    <r>
      <t>・国保加入しない人の入力は不要です。ただし、</t>
    </r>
    <r>
      <rPr>
        <b/>
        <u/>
        <sz val="20"/>
        <color theme="1"/>
        <rFont val="游ゴシック"/>
      </rPr>
      <t>世帯主は国保加入しない場合でも必ず入力してください。</t>
    </r>
    <rPh sb="1" eb="3">
      <t>コクホ</t>
    </rPh>
    <rPh sb="3" eb="5">
      <t>カニュウ</t>
    </rPh>
    <rPh sb="8" eb="9">
      <t>ヒト</t>
    </rPh>
    <rPh sb="10" eb="12">
      <t>ニュウリョク</t>
    </rPh>
    <rPh sb="13" eb="15">
      <t>フヨウ</t>
    </rPh>
    <rPh sb="22" eb="25">
      <t>セタイヌシ</t>
    </rPh>
    <rPh sb="26" eb="28">
      <t>コクホ</t>
    </rPh>
    <rPh sb="28" eb="30">
      <t>カニュウ</t>
    </rPh>
    <rPh sb="33" eb="35">
      <t>バアイ</t>
    </rPh>
    <rPh sb="37" eb="38">
      <t>カナラ</t>
    </rPh>
    <rPh sb="39" eb="41">
      <t>ニュウリョク</t>
    </rPh>
    <phoneticPr fontId="1"/>
  </si>
  <si>
    <r>
      <t>・下記表の①～③について、</t>
    </r>
    <r>
      <rPr>
        <b/>
        <u/>
        <sz val="20"/>
        <color theme="1"/>
        <rFont val="游ゴシック"/>
      </rPr>
      <t>「世帯主」</t>
    </r>
    <r>
      <rPr>
        <sz val="20"/>
        <color theme="1"/>
        <rFont val="游ゴシック"/>
      </rPr>
      <t>と</t>
    </r>
    <r>
      <rPr>
        <b/>
        <u/>
        <sz val="20"/>
        <color theme="1"/>
        <rFont val="游ゴシック"/>
      </rPr>
      <t>「国保加入する人」</t>
    </r>
    <r>
      <rPr>
        <sz val="20"/>
        <color theme="1"/>
        <rFont val="游ゴシック"/>
      </rPr>
      <t>の情報を入力してください。</t>
    </r>
    <rPh sb="1" eb="3">
      <t>カキ</t>
    </rPh>
    <rPh sb="3" eb="4">
      <t>ヒョウ</t>
    </rPh>
    <rPh sb="29" eb="31">
      <t>ジョウホウ</t>
    </rPh>
    <rPh sb="32" eb="34">
      <t>ニュウリョク</t>
    </rPh>
    <phoneticPr fontId="1"/>
  </si>
  <si>
    <t>・年度途中に加入者の人数や前年所得が変わる（修正申告を行う）場合</t>
    <rPh sb="1" eb="3">
      <t>ネンド</t>
    </rPh>
    <rPh sb="3" eb="5">
      <t>トチュウ</t>
    </rPh>
    <rPh sb="6" eb="9">
      <t>カニュウシャ</t>
    </rPh>
    <rPh sb="13" eb="15">
      <t>ゼンネン</t>
    </rPh>
    <rPh sb="15" eb="17">
      <t>ショトク</t>
    </rPh>
    <rPh sb="18" eb="19">
      <t>カ</t>
    </rPh>
    <rPh sb="22" eb="24">
      <t>シュウセイ</t>
    </rPh>
    <rPh sb="24" eb="26">
      <t>シンコク</t>
    </rPh>
    <rPh sb="27" eb="28">
      <t>オコナ</t>
    </rPh>
    <rPh sb="30" eb="32">
      <t>バアイ</t>
    </rPh>
    <phoneticPr fontId="1"/>
  </si>
  <si>
    <t>給与・年金以外の所得について</t>
    <rPh sb="0" eb="2">
      <t>キュウヨ</t>
    </rPh>
    <rPh sb="3" eb="5">
      <t>ネンキン</t>
    </rPh>
    <rPh sb="5" eb="7">
      <t>イガイ</t>
    </rPh>
    <rPh sb="8" eb="10">
      <t>ショトク</t>
    </rPh>
    <phoneticPr fontId="1"/>
  </si>
  <si>
    <t>年金収入について</t>
    <rPh sb="0" eb="2">
      <t>ネンキン</t>
    </rPh>
    <rPh sb="2" eb="4">
      <t>シュウニュウ</t>
    </rPh>
    <phoneticPr fontId="1"/>
  </si>
  <si>
    <t>給与収入について</t>
    <rPh sb="0" eb="2">
      <t>キュウヨ</t>
    </rPh>
    <rPh sb="2" eb="4">
      <t>シュウニュウ</t>
    </rPh>
    <phoneticPr fontId="1"/>
  </si>
  <si>
    <t>子ども</t>
    <rPh sb="0" eb="1">
      <t>コ</t>
    </rPh>
    <phoneticPr fontId="1"/>
  </si>
  <si>
    <t>651,000~1,899,999</t>
  </si>
  <si>
    <t>1,900,000~3,603,999</t>
  </si>
  <si>
    <t>子ども分</t>
    <rPh sb="0" eb="1">
      <t>コ</t>
    </rPh>
    <rPh sb="3" eb="4">
      <t>ブン</t>
    </rPh>
    <phoneticPr fontId="1"/>
  </si>
  <si>
    <t>令和8年度　和泉市　国民健康保険料　簡易試算シート</t>
    <rPh sb="6" eb="9">
      <t>イズミシ</t>
    </rPh>
    <rPh sb="18" eb="20">
      <t>カンイ</t>
    </rPh>
    <phoneticPr fontId="1"/>
  </si>
  <si>
    <t>・世帯主又は国保加入者に年金収入があり、その方が令和8年1月2日から令和9年1月1日までの間に65歳の誕生日を迎える場合</t>
    <rPh sb="1" eb="4">
      <t>セタイヌシ</t>
    </rPh>
    <rPh sb="4" eb="5">
      <t>マタ</t>
    </rPh>
    <rPh sb="6" eb="8">
      <t>コクホ</t>
    </rPh>
    <rPh sb="8" eb="11">
      <t>カニュウシャ</t>
    </rPh>
    <rPh sb="12" eb="14">
      <t>ネンキン</t>
    </rPh>
    <rPh sb="14" eb="16">
      <t>シュウニュウ</t>
    </rPh>
    <rPh sb="22" eb="23">
      <t>カタ</t>
    </rPh>
    <rPh sb="24" eb="26">
      <t>レイワ</t>
    </rPh>
    <rPh sb="27" eb="28">
      <t>ネン</t>
    </rPh>
    <rPh sb="29" eb="30">
      <t>ガツ</t>
    </rPh>
    <rPh sb="31" eb="32">
      <t>ニチ</t>
    </rPh>
    <rPh sb="34" eb="36">
      <t>レイワ</t>
    </rPh>
    <rPh sb="37" eb="38">
      <t>ネン</t>
    </rPh>
    <rPh sb="39" eb="40">
      <t>ガツ</t>
    </rPh>
    <rPh sb="41" eb="42">
      <t>ニチ</t>
    </rPh>
    <rPh sb="45" eb="46">
      <t>アイダ</t>
    </rPh>
    <rPh sb="49" eb="50">
      <t>サイ</t>
    </rPh>
    <rPh sb="51" eb="54">
      <t>タンジョウビ</t>
    </rPh>
    <rPh sb="55" eb="56">
      <t>ムカ</t>
    </rPh>
    <rPh sb="58" eb="60">
      <t>バアイ</t>
    </rPh>
    <phoneticPr fontId="1"/>
  </si>
  <si>
    <t>・年度途中に7歳・19歳・40歳・65歳・75歳になる方がいる場合</t>
    <rPh sb="1" eb="3">
      <t>ネンド</t>
    </rPh>
    <rPh sb="3" eb="5">
      <t>トチュウ</t>
    </rPh>
    <rPh sb="11" eb="12">
      <t>サイ</t>
    </rPh>
    <rPh sb="31" eb="33">
      <t>バアイ</t>
    </rPh>
    <phoneticPr fontId="1"/>
  </si>
  <si>
    <r>
      <t xml:space="preserve">子ども・子育て支援納付金分
</t>
    </r>
    <r>
      <rPr>
        <b/>
        <sz val="16"/>
        <color theme="1"/>
        <rFont val="游ゴシック"/>
      </rPr>
      <t>（均等割額は18歳以上が対象）</t>
    </r>
    <rPh sb="0" eb="1">
      <t>コ</t>
    </rPh>
    <rPh sb="4" eb="6">
      <t>コソダ</t>
    </rPh>
    <rPh sb="7" eb="9">
      <t>シエン</t>
    </rPh>
    <rPh sb="9" eb="11">
      <t>ノウフ</t>
    </rPh>
    <rPh sb="11" eb="12">
      <t>キン</t>
    </rPh>
    <rPh sb="12" eb="13">
      <t>ブン</t>
    </rPh>
    <rPh sb="15" eb="18">
      <t>キントウワリ</t>
    </rPh>
    <rPh sb="18" eb="19">
      <t>ガク</t>
    </rPh>
    <rPh sb="22" eb="23">
      <t>サイ</t>
    </rPh>
    <rPh sb="23" eb="25">
      <t>イジョウ</t>
    </rPh>
    <rPh sb="26" eb="28">
      <t>タイショウ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</si>
</sst>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6" formatCode="&quot;¥&quot;#,##0;[Red]&quot;¥&quot;\-#,##0"/>
    <numFmt numFmtId="176" formatCode="#,##0&quot;円&quot;"/>
    <numFmt numFmtId="177" formatCode="#,##0_);[Red]\(#,##0\)"/>
    <numFmt numFmtId="178" formatCode="#,##0_ "/>
    <numFmt numFmtId="179" formatCode="0.0000_);[Red]\(0.0000\)"/>
  </numFmts>
  <fonts count="2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4"/>
      <color theme="1"/>
      <name val="游ゴシック"/>
      <family val="2"/>
      <scheme val="minor"/>
    </font>
    <font>
      <sz val="20"/>
      <color theme="1"/>
      <name val="游ゴシック"/>
      <family val="3"/>
      <scheme val="minor"/>
    </font>
    <font>
      <sz val="26"/>
      <color theme="1"/>
      <name val="游ゴシック"/>
      <family val="2"/>
      <scheme val="minor"/>
    </font>
    <font>
      <sz val="16"/>
      <color theme="1"/>
      <name val="游ゴシック"/>
      <family val="3"/>
      <scheme val="minor"/>
    </font>
    <font>
      <b/>
      <sz val="40"/>
      <color theme="1"/>
      <name val="游ゴシック"/>
      <family val="3"/>
      <scheme val="minor"/>
    </font>
    <font>
      <b/>
      <u/>
      <sz val="30"/>
      <color rgb="FFFF0000"/>
      <name val="游ゴシック"/>
      <family val="3"/>
      <scheme val="minor"/>
    </font>
    <font>
      <sz val="20"/>
      <color rgb="FF222222"/>
      <name val="游ゴシック"/>
      <family val="3"/>
      <scheme val="minor"/>
    </font>
    <font>
      <b/>
      <sz val="20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48"/>
      <color theme="1"/>
      <name val="游ゴシック"/>
      <family val="3"/>
      <scheme val="minor"/>
    </font>
    <font>
      <sz val="20"/>
      <color auto="1"/>
      <name val="游ゴシック"/>
      <family val="2"/>
      <scheme val="minor"/>
    </font>
    <font>
      <b/>
      <u/>
      <sz val="20"/>
      <color rgb="FFFF0000"/>
      <name val="游ゴシック"/>
      <family val="3"/>
      <scheme val="minor"/>
    </font>
    <font>
      <sz val="40"/>
      <color theme="1"/>
      <name val="游ゴシック"/>
      <family val="3"/>
      <scheme val="minor"/>
    </font>
    <font>
      <sz val="55"/>
      <color theme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b/>
      <sz val="22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2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5"/>
      <color theme="1"/>
      <name val="游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8"/>
      </left>
      <right/>
      <top style="thick">
        <color theme="8"/>
      </top>
      <bottom/>
      <diagonal/>
    </border>
    <border>
      <left style="thick">
        <color theme="8"/>
      </left>
      <right/>
      <top/>
      <bottom/>
      <diagonal/>
    </border>
    <border>
      <left style="thick">
        <color theme="8"/>
      </left>
      <right/>
      <top/>
      <bottom style="thick">
        <color theme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theme="8"/>
      </right>
      <top style="thick">
        <color theme="8"/>
      </top>
      <bottom/>
      <diagonal/>
    </border>
    <border>
      <left/>
      <right style="thick">
        <color theme="8"/>
      </right>
      <top/>
      <bottom/>
      <diagonal/>
    </border>
    <border>
      <left/>
      <right style="thick">
        <color theme="8"/>
      </right>
      <top/>
      <bottom style="thick">
        <color theme="8"/>
      </bottom>
      <diagonal/>
    </border>
    <border>
      <left/>
      <right/>
      <top/>
      <bottom style="thick">
        <color theme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8"/>
      </left>
      <right/>
      <top/>
      <bottom style="medium">
        <color theme="8"/>
      </bottom>
      <diagonal/>
    </border>
    <border>
      <left style="thick">
        <color theme="8"/>
      </left>
      <right/>
      <top style="medium">
        <color theme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8"/>
      </right>
      <top style="thick">
        <color theme="8"/>
      </top>
      <bottom/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/>
      <bottom style="thick">
        <color theme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8"/>
      </left>
      <right/>
      <top style="thick">
        <color theme="8"/>
      </top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theme="8"/>
      </left>
      <right/>
      <top/>
      <bottom style="thick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8"/>
      </right>
      <top/>
      <bottom style="medium">
        <color theme="8"/>
      </bottom>
      <diagonal/>
    </border>
    <border>
      <left/>
      <right style="thick">
        <color theme="8"/>
      </right>
      <top style="medium">
        <color theme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/>
    <xf numFmtId="6" fontId="23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0" fillId="2" borderId="0" xfId="0" applyFill="1" applyAlignment="1"/>
    <xf numFmtId="0" fontId="0" fillId="2" borderId="0" xfId="0" applyFill="1"/>
    <xf numFmtId="0" fontId="4" fillId="2" borderId="0" xfId="0" applyFont="1" applyFill="1" applyBorder="1" applyAlignment="1"/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/>
    <xf numFmtId="0" fontId="0" fillId="2" borderId="0" xfId="0" applyFill="1" applyBorder="1"/>
    <xf numFmtId="0" fontId="0" fillId="0" borderId="0" xfId="0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/>
    <xf numFmtId="0" fontId="8" fillId="2" borderId="0" xfId="0" applyFont="1" applyFill="1" applyAlignment="1">
      <alignment horizontal="left" vertical="center" indent="1"/>
    </xf>
    <xf numFmtId="0" fontId="3" fillId="2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2" fillId="2" borderId="0" xfId="0" applyFont="1" applyFill="1" applyAlignment="1"/>
    <xf numFmtId="0" fontId="9" fillId="5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13" fillId="2" borderId="0" xfId="0" applyFont="1" applyFill="1"/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176" fontId="14" fillId="0" borderId="4" xfId="0" applyNumberFormat="1" applyFont="1" applyBorder="1" applyAlignment="1">
      <alignment horizontal="center"/>
    </xf>
    <xf numFmtId="176" fontId="14" fillId="0" borderId="5" xfId="0" applyNumberFormat="1" applyFont="1" applyBorder="1" applyAlignment="1">
      <alignment horizontal="center"/>
    </xf>
    <xf numFmtId="176" fontId="14" fillId="0" borderId="16" xfId="0" applyNumberFormat="1" applyFont="1" applyBorder="1" applyAlignment="1">
      <alignment horizontal="center"/>
    </xf>
    <xf numFmtId="176" fontId="14" fillId="0" borderId="17" xfId="0" applyNumberFormat="1" applyFont="1" applyBorder="1" applyAlignment="1">
      <alignment horizontal="center"/>
    </xf>
    <xf numFmtId="176" fontId="14" fillId="0" borderId="6" xfId="0" applyNumberFormat="1" applyFont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177" fontId="3" fillId="6" borderId="13" xfId="0" applyNumberFormat="1" applyFont="1" applyFill="1" applyBorder="1" applyAlignment="1" applyProtection="1">
      <alignment horizontal="right"/>
      <protection locked="0"/>
    </xf>
    <xf numFmtId="177" fontId="3" fillId="6" borderId="14" xfId="0" applyNumberFormat="1" applyFont="1" applyFill="1" applyBorder="1" applyAlignment="1" applyProtection="1">
      <alignment horizontal="right"/>
      <protection locked="0"/>
    </xf>
    <xf numFmtId="177" fontId="3" fillId="6" borderId="15" xfId="0" applyNumberFormat="1" applyFont="1" applyFill="1" applyBorder="1" applyAlignment="1" applyProtection="1">
      <alignment horizontal="right"/>
      <protection locked="0"/>
    </xf>
    <xf numFmtId="176" fontId="14" fillId="0" borderId="19" xfId="0" applyNumberFormat="1" applyFont="1" applyBorder="1" applyAlignment="1">
      <alignment horizontal="center"/>
    </xf>
    <xf numFmtId="176" fontId="14" fillId="0" borderId="20" xfId="0" applyNumberFormat="1" applyFont="1" applyBorder="1" applyAlignment="1">
      <alignment horizontal="center"/>
    </xf>
    <xf numFmtId="176" fontId="14" fillId="0" borderId="21" xfId="0" applyNumberFormat="1" applyFont="1" applyBorder="1" applyAlignment="1">
      <alignment horizontal="center"/>
    </xf>
    <xf numFmtId="176" fontId="14" fillId="0" borderId="22" xfId="0" applyNumberFormat="1" applyFont="1" applyBorder="1" applyAlignment="1">
      <alignment horizontal="center"/>
    </xf>
    <xf numFmtId="176" fontId="14" fillId="0" borderId="23" xfId="0" applyNumberFormat="1" applyFont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177" fontId="3" fillId="5" borderId="13" xfId="0" applyNumberFormat="1" applyFont="1" applyFill="1" applyBorder="1" applyAlignment="1">
      <alignment horizontal="right"/>
    </xf>
    <xf numFmtId="177" fontId="3" fillId="5" borderId="15" xfId="0" applyNumberFormat="1" applyFont="1" applyFill="1" applyBorder="1" applyAlignment="1">
      <alignment horizontal="right"/>
    </xf>
    <xf numFmtId="176" fontId="14" fillId="0" borderId="25" xfId="0" applyNumberFormat="1" applyFont="1" applyBorder="1" applyAlignment="1">
      <alignment horizontal="center"/>
    </xf>
    <xf numFmtId="176" fontId="14" fillId="0" borderId="26" xfId="0" applyNumberFormat="1" applyFont="1" applyBorder="1" applyAlignment="1">
      <alignment horizontal="center"/>
    </xf>
    <xf numFmtId="176" fontId="14" fillId="0" borderId="27" xfId="0" applyNumberFormat="1" applyFont="1" applyBorder="1" applyAlignment="1">
      <alignment horizontal="center"/>
    </xf>
    <xf numFmtId="176" fontId="14" fillId="0" borderId="28" xfId="0" applyNumberFormat="1" applyFont="1" applyBorder="1" applyAlignment="1">
      <alignment horizontal="center"/>
    </xf>
    <xf numFmtId="176" fontId="14" fillId="0" borderId="29" xfId="0" applyNumberFormat="1" applyFont="1" applyBorder="1" applyAlignment="1">
      <alignment horizontal="center"/>
    </xf>
    <xf numFmtId="176" fontId="15" fillId="2" borderId="0" xfId="0" applyNumberFormat="1" applyFont="1" applyFill="1" applyBorder="1" applyAlignment="1">
      <alignment horizontal="right" vertical="top"/>
    </xf>
    <xf numFmtId="176" fontId="15" fillId="2" borderId="12" xfId="0" applyNumberFormat="1" applyFont="1" applyFill="1" applyBorder="1" applyAlignment="1">
      <alignment horizontal="right" vertical="top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176" fontId="14" fillId="0" borderId="9" xfId="0" applyNumberFormat="1" applyFont="1" applyBorder="1" applyAlignment="1">
      <alignment horizontal="center"/>
    </xf>
    <xf numFmtId="176" fontId="14" fillId="0" borderId="10" xfId="0" applyNumberFormat="1" applyFont="1" applyBorder="1" applyAlignment="1">
      <alignment horizontal="center"/>
    </xf>
    <xf numFmtId="176" fontId="14" fillId="0" borderId="31" xfId="0" applyNumberFormat="1" applyFont="1" applyBorder="1" applyAlignment="1">
      <alignment horizontal="center"/>
    </xf>
    <xf numFmtId="176" fontId="14" fillId="0" borderId="32" xfId="0" applyNumberFormat="1" applyFont="1" applyBorder="1" applyAlignment="1">
      <alignment horizontal="center"/>
    </xf>
    <xf numFmtId="176" fontId="14" fillId="0" borderId="11" xfId="0" applyNumberFormat="1" applyFont="1" applyBorder="1" applyAlignment="1">
      <alignment horizontal="center"/>
    </xf>
    <xf numFmtId="0" fontId="3" fillId="2" borderId="0" xfId="0" applyFont="1" applyFill="1" applyBorder="1"/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177" fontId="3" fillId="5" borderId="33" xfId="0" applyNumberFormat="1" applyFont="1" applyFill="1" applyBorder="1" applyAlignment="1">
      <alignment horizontal="right"/>
    </xf>
    <xf numFmtId="177" fontId="3" fillId="5" borderId="34" xfId="0" applyNumberFormat="1" applyFont="1" applyFill="1" applyBorder="1" applyAlignment="1">
      <alignment horizontal="right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7" fillId="5" borderId="3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5" borderId="35" xfId="0" applyNumberFormat="1" applyFont="1" applyFill="1" applyBorder="1" applyAlignment="1">
      <alignment horizontal="center" vertical="center"/>
    </xf>
    <xf numFmtId="177" fontId="20" fillId="0" borderId="36" xfId="0" applyNumberFormat="1" applyFont="1" applyBorder="1" applyAlignment="1">
      <alignment horizontal="right"/>
    </xf>
    <xf numFmtId="177" fontId="20" fillId="0" borderId="8" xfId="0" applyNumberFormat="1" applyFont="1" applyBorder="1" applyAlignment="1">
      <alignment horizontal="right"/>
    </xf>
    <xf numFmtId="0" fontId="17" fillId="5" borderId="3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178" fontId="20" fillId="0" borderId="38" xfId="0" applyNumberFormat="1" applyFont="1" applyBorder="1" applyAlignment="1">
      <alignment horizontal="right"/>
    </xf>
    <xf numFmtId="178" fontId="20" fillId="0" borderId="39" xfId="0" applyNumberFormat="1" applyFont="1" applyBorder="1" applyAlignment="1">
      <alignment horizontal="right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5" borderId="24" xfId="0" applyFont="1" applyFill="1" applyBorder="1" applyAlignment="1">
      <alignment horizontal="center" vertical="center"/>
    </xf>
    <xf numFmtId="0" fontId="19" fillId="5" borderId="40" xfId="0" applyNumberFormat="1" applyFont="1" applyFill="1" applyBorder="1" applyAlignment="1">
      <alignment horizontal="center" vertical="center"/>
    </xf>
    <xf numFmtId="177" fontId="20" fillId="0" borderId="14" xfId="0" applyNumberFormat="1" applyFont="1" applyBorder="1" applyAlignment="1">
      <alignment horizontal="right"/>
    </xf>
    <xf numFmtId="177" fontId="20" fillId="0" borderId="15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0" fontId="17" fillId="5" borderId="4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178" fontId="20" fillId="0" borderId="14" xfId="0" applyNumberFormat="1" applyFont="1" applyBorder="1" applyAlignment="1">
      <alignment horizontal="right"/>
    </xf>
    <xf numFmtId="178" fontId="20" fillId="0" borderId="15" xfId="0" applyNumberFormat="1" applyFont="1" applyBorder="1" applyAlignment="1">
      <alignment horizontal="right"/>
    </xf>
    <xf numFmtId="3" fontId="19" fillId="5" borderId="13" xfId="0" applyNumberFormat="1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/>
    </xf>
    <xf numFmtId="0" fontId="19" fillId="5" borderId="42" xfId="0" applyNumberFormat="1" applyFont="1" applyFill="1" applyBorder="1" applyAlignment="1">
      <alignment horizontal="center" vertical="center"/>
    </xf>
    <xf numFmtId="177" fontId="20" fillId="0" borderId="43" xfId="0" applyNumberFormat="1" applyFont="1" applyBorder="1" applyAlignment="1">
      <alignment horizontal="right"/>
    </xf>
    <xf numFmtId="177" fontId="20" fillId="0" borderId="34" xfId="0" applyNumberFormat="1" applyFont="1" applyBorder="1" applyAlignment="1">
      <alignment horizontal="right"/>
    </xf>
    <xf numFmtId="0" fontId="17" fillId="5" borderId="44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178" fontId="20" fillId="0" borderId="43" xfId="0" applyNumberFormat="1" applyFont="1" applyBorder="1" applyAlignment="1">
      <alignment horizontal="right"/>
    </xf>
    <xf numFmtId="178" fontId="20" fillId="0" borderId="34" xfId="0" applyNumberFormat="1" applyFont="1" applyBorder="1" applyAlignment="1">
      <alignment horizontal="right"/>
    </xf>
    <xf numFmtId="0" fontId="17" fillId="6" borderId="45" xfId="0" applyFont="1" applyFill="1" applyBorder="1" applyAlignment="1">
      <alignment horizontal="center" vertical="center"/>
    </xf>
    <xf numFmtId="0" fontId="17" fillId="6" borderId="46" xfId="0" applyFont="1" applyFill="1" applyBorder="1" applyAlignment="1">
      <alignment horizontal="center" vertical="center"/>
    </xf>
    <xf numFmtId="177" fontId="17" fillId="6" borderId="30" xfId="0" applyNumberFormat="1" applyFont="1" applyFill="1" applyBorder="1"/>
    <xf numFmtId="0" fontId="17" fillId="5" borderId="47" xfId="0" applyFont="1" applyFill="1" applyBorder="1" applyAlignment="1">
      <alignment horizontal="center" vertical="center"/>
    </xf>
    <xf numFmtId="0" fontId="19" fillId="5" borderId="48" xfId="0" applyFont="1" applyFill="1" applyBorder="1" applyAlignment="1">
      <alignment horizontal="center" vertical="center"/>
    </xf>
    <xf numFmtId="178" fontId="20" fillId="0" borderId="36" xfId="0" applyNumberFormat="1" applyFont="1" applyBorder="1" applyAlignment="1">
      <alignment horizontal="right"/>
    </xf>
    <xf numFmtId="178" fontId="20" fillId="0" borderId="8" xfId="0" applyNumberFormat="1" applyFont="1" applyBorder="1" applyAlignment="1">
      <alignment horizontal="right"/>
    </xf>
    <xf numFmtId="177" fontId="17" fillId="6" borderId="3" xfId="0" applyNumberFormat="1" applyFont="1" applyFill="1" applyBorder="1"/>
    <xf numFmtId="0" fontId="18" fillId="0" borderId="0" xfId="0" applyFont="1"/>
    <xf numFmtId="178" fontId="17" fillId="6" borderId="3" xfId="0" applyNumberFormat="1" applyFont="1" applyFill="1" applyBorder="1"/>
    <xf numFmtId="0" fontId="17" fillId="6" borderId="45" xfId="0" applyFont="1" applyFill="1" applyBorder="1" applyAlignment="1">
      <alignment horizontal="center" vertical="center" wrapText="1"/>
    </xf>
    <xf numFmtId="0" fontId="17" fillId="6" borderId="46" xfId="0" applyFont="1" applyFill="1" applyBorder="1" applyAlignment="1">
      <alignment horizontal="center" vertical="center" wrapText="1"/>
    </xf>
    <xf numFmtId="178" fontId="17" fillId="6" borderId="3" xfId="0" applyNumberFormat="1" applyFont="1" applyFill="1" applyBorder="1" applyAlignment="1">
      <alignment horizontal="center"/>
    </xf>
    <xf numFmtId="0" fontId="17" fillId="6" borderId="49" xfId="0" applyFont="1" applyFill="1" applyBorder="1" applyAlignment="1">
      <alignment horizontal="center" vertical="center"/>
    </xf>
    <xf numFmtId="177" fontId="17" fillId="6" borderId="3" xfId="0" applyNumberFormat="1" applyFont="1" applyFill="1" applyBorder="1" applyAlignment="1">
      <alignment horizontal="right" vertical="center"/>
    </xf>
    <xf numFmtId="0" fontId="20" fillId="0" borderId="0" xfId="0" applyFont="1"/>
    <xf numFmtId="0" fontId="17" fillId="5" borderId="46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/>
    </xf>
    <xf numFmtId="177" fontId="20" fillId="0" borderId="50" xfId="0" applyNumberFormat="1" applyFont="1" applyBorder="1" applyAlignment="1">
      <alignment horizontal="right" vertical="center"/>
    </xf>
    <xf numFmtId="177" fontId="20" fillId="0" borderId="51" xfId="0" applyNumberFormat="1" applyFont="1" applyBorder="1" applyAlignment="1">
      <alignment horizontal="right" vertical="center"/>
    </xf>
    <xf numFmtId="177" fontId="20" fillId="0" borderId="52" xfId="0" applyNumberFormat="1" applyFont="1" applyBorder="1" applyAlignment="1">
      <alignment horizontal="right" vertical="center"/>
    </xf>
    <xf numFmtId="177" fontId="20" fillId="0" borderId="53" xfId="0" applyNumberFormat="1" applyFont="1" applyBorder="1" applyAlignment="1">
      <alignment horizontal="right" vertical="center"/>
    </xf>
    <xf numFmtId="177" fontId="20" fillId="0" borderId="46" xfId="0" applyNumberFormat="1" applyFont="1" applyBorder="1" applyAlignment="1">
      <alignment horizontal="right" vertical="center"/>
    </xf>
    <xf numFmtId="177" fontId="20" fillId="0" borderId="48" xfId="0" applyNumberFormat="1" applyFont="1" applyBorder="1" applyAlignment="1">
      <alignment horizontal="right" vertical="center"/>
    </xf>
    <xf numFmtId="177" fontId="20" fillId="0" borderId="36" xfId="0" applyNumberFormat="1" applyFont="1" applyBorder="1" applyAlignment="1">
      <alignment horizontal="right" vertical="center"/>
    </xf>
    <xf numFmtId="177" fontId="20" fillId="0" borderId="8" xfId="0" applyNumberFormat="1" applyFont="1" applyBorder="1" applyAlignment="1">
      <alignment horizontal="right" vertical="center"/>
    </xf>
    <xf numFmtId="177" fontId="20" fillId="0" borderId="40" xfId="0" applyNumberFormat="1" applyFont="1" applyBorder="1" applyAlignment="1">
      <alignment horizontal="right" vertical="center"/>
    </xf>
    <xf numFmtId="177" fontId="20" fillId="0" borderId="13" xfId="0" applyNumberFormat="1" applyFont="1" applyBorder="1" applyAlignment="1">
      <alignment horizontal="right" vertical="center"/>
    </xf>
    <xf numFmtId="177" fontId="20" fillId="0" borderId="54" xfId="0" applyNumberFormat="1" applyFont="1" applyBorder="1" applyAlignment="1">
      <alignment horizontal="right" vertical="center"/>
    </xf>
    <xf numFmtId="177" fontId="20" fillId="0" borderId="14" xfId="0" applyNumberFormat="1" applyFont="1" applyBorder="1" applyAlignment="1">
      <alignment horizontal="right" vertical="center"/>
    </xf>
    <xf numFmtId="177" fontId="20" fillId="0" borderId="15" xfId="0" applyNumberFormat="1" applyFont="1" applyBorder="1" applyAlignment="1">
      <alignment horizontal="right" vertical="center"/>
    </xf>
    <xf numFmtId="0" fontId="20" fillId="0" borderId="55" xfId="0" applyFont="1" applyBorder="1" applyAlignment="1">
      <alignment horizontal="center" vertical="center"/>
    </xf>
    <xf numFmtId="177" fontId="20" fillId="0" borderId="33" xfId="0" applyNumberFormat="1" applyFont="1" applyBorder="1" applyAlignment="1">
      <alignment horizontal="right" vertical="center"/>
    </xf>
    <xf numFmtId="177" fontId="20" fillId="0" borderId="43" xfId="0" applyNumberFormat="1" applyFont="1" applyBorder="1" applyAlignment="1">
      <alignment horizontal="right" vertical="center"/>
    </xf>
    <xf numFmtId="177" fontId="20" fillId="0" borderId="34" xfId="0" applyNumberFormat="1" applyFont="1" applyBorder="1" applyAlignment="1">
      <alignment horizontal="right" vertical="center"/>
    </xf>
    <xf numFmtId="177" fontId="20" fillId="0" borderId="42" xfId="0" applyNumberFormat="1" applyFont="1" applyBorder="1" applyAlignment="1">
      <alignment horizontal="right" vertical="center"/>
    </xf>
    <xf numFmtId="177" fontId="20" fillId="0" borderId="56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7" fillId="5" borderId="30" xfId="0" applyFont="1" applyFill="1" applyBorder="1" applyAlignment="1">
      <alignment horizontal="center" vertical="center" wrapText="1"/>
    </xf>
    <xf numFmtId="177" fontId="20" fillId="0" borderId="7" xfId="0" applyNumberFormat="1" applyFont="1" applyBorder="1" applyAlignment="1">
      <alignment horizontal="right" vertical="center"/>
    </xf>
    <xf numFmtId="177" fontId="20" fillId="0" borderId="38" xfId="0" applyNumberFormat="1" applyFont="1" applyBorder="1" applyAlignment="1">
      <alignment horizontal="right" vertical="center"/>
    </xf>
    <xf numFmtId="177" fontId="20" fillId="0" borderId="39" xfId="0" applyNumberFormat="1" applyFont="1" applyBorder="1" applyAlignment="1">
      <alignment horizontal="right" vertical="center"/>
    </xf>
    <xf numFmtId="177" fontId="20" fillId="0" borderId="3" xfId="0" applyNumberFormat="1" applyFont="1" applyBorder="1" applyAlignment="1">
      <alignment horizontal="right" vertical="center"/>
    </xf>
    <xf numFmtId="177" fontId="20" fillId="0" borderId="47" xfId="0" applyNumberFormat="1" applyFont="1" applyBorder="1" applyAlignment="1">
      <alignment horizontal="right" vertical="center"/>
    </xf>
    <xf numFmtId="177" fontId="20" fillId="0" borderId="41" xfId="0" applyNumberFormat="1" applyFont="1" applyBorder="1" applyAlignment="1">
      <alignment horizontal="right" vertical="center"/>
    </xf>
    <xf numFmtId="177" fontId="20" fillId="0" borderId="30" xfId="0" applyNumberFormat="1" applyFont="1" applyBorder="1" applyAlignment="1">
      <alignment horizontal="right" vertical="center"/>
    </xf>
    <xf numFmtId="177" fontId="20" fillId="0" borderId="44" xfId="0" applyNumberFormat="1" applyFont="1" applyBorder="1" applyAlignment="1">
      <alignment horizontal="right" vertical="center"/>
    </xf>
    <xf numFmtId="177" fontId="20" fillId="0" borderId="57" xfId="0" applyNumberFormat="1" applyFont="1" applyBorder="1" applyAlignment="1">
      <alignment horizontal="right" vertical="center"/>
    </xf>
    <xf numFmtId="177" fontId="20" fillId="0" borderId="0" xfId="0" applyNumberFormat="1" applyFont="1" applyAlignment="1">
      <alignment horizontal="right" vertical="center"/>
    </xf>
    <xf numFmtId="0" fontId="21" fillId="0" borderId="0" xfId="0" applyFont="1"/>
    <xf numFmtId="0" fontId="22" fillId="5" borderId="1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9" fontId="3" fillId="6" borderId="14" xfId="0" applyNumberFormat="1" applyFont="1" applyFill="1" applyBorder="1" applyAlignment="1" applyProtection="1">
      <alignment vertical="center"/>
      <protection locked="0"/>
    </xf>
    <xf numFmtId="177" fontId="3" fillId="6" borderId="14" xfId="0" applyNumberFormat="1" applyFont="1" applyFill="1" applyBorder="1" applyAlignment="1" applyProtection="1">
      <alignment vertical="center"/>
      <protection locked="0"/>
    </xf>
    <xf numFmtId="177" fontId="3" fillId="5" borderId="58" xfId="0" applyNumberFormat="1" applyFont="1" applyFill="1" applyBorder="1" applyAlignment="1">
      <alignment vertical="center"/>
    </xf>
    <xf numFmtId="38" fontId="21" fillId="0" borderId="0" xfId="1" applyNumberFormat="1" applyFont="1" applyAlignment="1"/>
    <xf numFmtId="0" fontId="21" fillId="0" borderId="0" xfId="0" applyFont="1" applyAlignment="1">
      <alignment vertical="center"/>
    </xf>
    <xf numFmtId="0" fontId="3" fillId="5" borderId="14" xfId="0" applyFont="1" applyFill="1" applyBorder="1" applyAlignment="1">
      <alignment horizontal="center" vertical="center"/>
    </xf>
    <xf numFmtId="38" fontId="3" fillId="6" borderId="14" xfId="1" applyNumberFormat="1" applyFont="1" applyFill="1" applyBorder="1" applyAlignment="1" applyProtection="1">
      <protection locked="0"/>
    </xf>
    <xf numFmtId="38" fontId="3" fillId="5" borderId="58" xfId="1" applyNumberFormat="1" applyFont="1" applyFill="1" applyBorder="1" applyAlignment="1"/>
    <xf numFmtId="0" fontId="24" fillId="2" borderId="0" xfId="0" applyFont="1" applyFill="1"/>
  </cellXfs>
  <cellStyles count="2">
    <cellStyle name="標準" xfId="0" builtinId="0"/>
    <cellStyle name="通貨" xfId="1" builtin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32</xdr:row>
      <xdr:rowOff>0</xdr:rowOff>
    </xdr:from>
    <xdr:to xmlns:xdr="http://schemas.openxmlformats.org/drawingml/2006/spreadsheetDrawing">
      <xdr:col>2</xdr:col>
      <xdr:colOff>33655</xdr:colOff>
      <xdr:row>33</xdr:row>
      <xdr:rowOff>13335</xdr:rowOff>
    </xdr:to>
    <xdr:sp macro="" textlink="">
      <xdr:nvSpPr>
        <xdr:cNvPr id="2" name="下矢印 1"/>
        <xdr:cNvSpPr/>
      </xdr:nvSpPr>
      <xdr:spPr>
        <a:xfrm>
          <a:off x="809625" y="12567285"/>
          <a:ext cx="1224280" cy="103060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358140</xdr:colOff>
      <xdr:row>32</xdr:row>
      <xdr:rowOff>24130</xdr:rowOff>
    </xdr:from>
    <xdr:to xmlns:xdr="http://schemas.openxmlformats.org/drawingml/2006/spreadsheetDrawing">
      <xdr:col>11</xdr:col>
      <xdr:colOff>9525</xdr:colOff>
      <xdr:row>33</xdr:row>
      <xdr:rowOff>37465</xdr:rowOff>
    </xdr:to>
    <xdr:sp macro="" textlink="">
      <xdr:nvSpPr>
        <xdr:cNvPr id="4" name="下矢印 3"/>
        <xdr:cNvSpPr/>
      </xdr:nvSpPr>
      <xdr:spPr>
        <a:xfrm>
          <a:off x="14931390" y="12591415"/>
          <a:ext cx="1223010" cy="103060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0</xdr:col>
      <xdr:colOff>9525</xdr:colOff>
      <xdr:row>3</xdr:row>
      <xdr:rowOff>9525</xdr:rowOff>
    </xdr:from>
    <xdr:ext cx="8133080" cy="4018280"/>
    <xdr:pic macro=""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800100"/>
          <a:ext cx="8133080" cy="401828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oneCellAnchor>
  <xdr:oneCellAnchor>
    <xdr:from xmlns:xdr="http://schemas.openxmlformats.org/drawingml/2006/spreadsheetDrawing">
      <xdr:col>0</xdr:col>
      <xdr:colOff>0</xdr:colOff>
      <xdr:row>23</xdr:row>
      <xdr:rowOff>0</xdr:rowOff>
    </xdr:from>
    <xdr:ext cx="8086725" cy="5438775"/>
    <xdr:pic macro=""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29275"/>
          <a:ext cx="8086725" cy="5438775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oneCellAnchor>
  <xdr:oneCellAnchor>
    <xdr:from xmlns:xdr="http://schemas.openxmlformats.org/drawingml/2006/spreadsheetDrawing">
      <xdr:col>0</xdr:col>
      <xdr:colOff>0</xdr:colOff>
      <xdr:row>49</xdr:row>
      <xdr:rowOff>9525</xdr:rowOff>
    </xdr:from>
    <xdr:ext cx="8052435" cy="11162030"/>
    <xdr:pic macro=""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906250"/>
          <a:ext cx="8052435" cy="1116203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R80"/>
  <sheetViews>
    <sheetView showGridLines="0" tabSelected="1" view="pageBreakPreview" zoomScale="50" zoomScaleNormal="85" zoomScaleSheetLayoutView="50" workbookViewId="0">
      <selection activeCell="C23" sqref="C23"/>
    </sheetView>
  </sheetViews>
  <sheetFormatPr defaultRowHeight="18.75"/>
  <cols>
    <col min="1" max="1" width="10.625" customWidth="1"/>
    <col min="2" max="2" width="15.625" customWidth="1"/>
    <col min="3" max="12" width="20.625" customWidth="1"/>
    <col min="13" max="13" width="9.375" bestFit="1" customWidth="1"/>
    <col min="14" max="14" width="15.125" bestFit="1" customWidth="1"/>
    <col min="15" max="17" width="9.25" bestFit="1" customWidth="1"/>
  </cols>
  <sheetData>
    <row r="1" spans="1:1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customHeight="1">
      <c r="A3" s="7"/>
      <c r="B3" s="15" t="s">
        <v>110</v>
      </c>
      <c r="C3" s="15"/>
      <c r="D3" s="15"/>
      <c r="E3" s="15"/>
      <c r="F3" s="15"/>
      <c r="G3" s="15"/>
      <c r="H3" s="15"/>
      <c r="I3" s="15"/>
      <c r="J3" s="15"/>
      <c r="K3" s="15"/>
      <c r="L3" s="6"/>
    </row>
    <row r="4" spans="1:12" ht="22.5" customHeight="1">
      <c r="A4" s="7"/>
      <c r="B4" s="15"/>
      <c r="C4" s="15"/>
      <c r="D4" s="15"/>
      <c r="E4" s="15"/>
      <c r="F4" s="15"/>
      <c r="G4" s="15"/>
      <c r="H4" s="15"/>
      <c r="I4" s="15"/>
      <c r="J4" s="15"/>
      <c r="K4" s="15"/>
      <c r="L4" s="6"/>
    </row>
    <row r="5" spans="1:12">
      <c r="A5" s="6"/>
      <c r="B5" s="15"/>
      <c r="C5" s="15"/>
      <c r="D5" s="15"/>
      <c r="E5" s="15"/>
      <c r="F5" s="15"/>
      <c r="G5" s="15"/>
      <c r="H5" s="15"/>
      <c r="I5" s="15"/>
      <c r="J5" s="15"/>
      <c r="K5" s="15"/>
      <c r="L5" s="6"/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1" customFormat="1" ht="35.1" customHeight="1">
      <c r="A7" s="8"/>
      <c r="B7" s="10" t="s">
        <v>101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1" customFormat="1" ht="35.1" customHeight="1">
      <c r="A8" s="8"/>
      <c r="B8" s="10" t="s">
        <v>100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35.1" customHeight="1">
      <c r="A9" s="8"/>
      <c r="B9" s="10" t="s">
        <v>92</v>
      </c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18.75" customHeight="1">
      <c r="A10" s="9"/>
      <c r="B10" s="10"/>
      <c r="C10" s="9"/>
      <c r="D10" s="9"/>
      <c r="E10" s="9"/>
      <c r="F10" s="9"/>
      <c r="G10" s="9"/>
      <c r="H10" s="9"/>
      <c r="I10" s="9"/>
      <c r="J10" s="9"/>
      <c r="K10" s="9"/>
      <c r="L10" s="6"/>
    </row>
    <row r="11" spans="1:12" ht="48.75" customHeight="1">
      <c r="A11" s="6"/>
      <c r="B11" s="16" t="s">
        <v>96</v>
      </c>
      <c r="C11" s="26"/>
      <c r="D11" s="26"/>
      <c r="E11" s="26"/>
      <c r="F11" s="26"/>
      <c r="G11" s="9"/>
      <c r="H11" s="9"/>
      <c r="I11" s="9"/>
      <c r="J11" s="9"/>
      <c r="K11" s="9"/>
      <c r="L11" s="9"/>
    </row>
    <row r="12" spans="1:12" ht="35.1" customHeight="1">
      <c r="A12" s="6"/>
      <c r="B12" s="17" t="s">
        <v>112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35.1" customHeight="1">
      <c r="A13" s="6"/>
      <c r="B13" s="17" t="s">
        <v>102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5.1" customHeight="1">
      <c r="A14" s="6"/>
      <c r="B14" s="17" t="s">
        <v>111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35.1" customHeight="1">
      <c r="A15" s="6"/>
      <c r="B15" s="17" t="s">
        <v>19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5.1" customHeight="1">
      <c r="A16" s="6"/>
      <c r="B16" s="17" t="s">
        <v>97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8" ht="35.1" customHeight="1">
      <c r="A17" s="6"/>
      <c r="B17" s="17" t="s">
        <v>93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8" ht="35.1" customHeight="1">
      <c r="A18" s="6"/>
      <c r="B18" s="17" t="s">
        <v>94</v>
      </c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8" ht="35.1" customHeight="1">
      <c r="A19" s="6"/>
      <c r="B19" s="17" t="s">
        <v>95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8" ht="26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6"/>
    </row>
    <row r="21" spans="1:18" s="2" customFormat="1" ht="33.75">
      <c r="A21" s="10"/>
      <c r="B21" s="18"/>
      <c r="C21" s="27" t="s">
        <v>37</v>
      </c>
      <c r="D21" s="27" t="s">
        <v>38</v>
      </c>
      <c r="E21" s="47" t="s">
        <v>27</v>
      </c>
      <c r="F21" s="56"/>
      <c r="G21" s="56"/>
      <c r="H21" s="56"/>
      <c r="I21" s="69"/>
      <c r="J21" s="78"/>
      <c r="K21" s="78"/>
      <c r="L21" s="10"/>
    </row>
    <row r="22" spans="1:18" s="3" customFormat="1" ht="60" customHeight="1">
      <c r="A22" s="11"/>
      <c r="B22" s="19"/>
      <c r="C22" s="28" t="s">
        <v>36</v>
      </c>
      <c r="D22" s="20" t="s">
        <v>0</v>
      </c>
      <c r="E22" s="20" t="s">
        <v>7</v>
      </c>
      <c r="F22" s="20" t="s">
        <v>1</v>
      </c>
      <c r="G22" s="20" t="s">
        <v>2</v>
      </c>
      <c r="H22" s="20" t="s">
        <v>8</v>
      </c>
      <c r="I22" s="28" t="s">
        <v>10</v>
      </c>
      <c r="J22" s="20" t="s">
        <v>12</v>
      </c>
      <c r="K22" s="28" t="s">
        <v>90</v>
      </c>
      <c r="L22" s="11"/>
    </row>
    <row r="23" spans="1:18" s="3" customFormat="1" ht="39.950000000000003" customHeight="1">
      <c r="A23" s="11"/>
      <c r="B23" s="20" t="s">
        <v>17</v>
      </c>
      <c r="C23" s="29" t="s">
        <v>89</v>
      </c>
      <c r="D23" s="39"/>
      <c r="E23" s="48"/>
      <c r="F23" s="57">
        <f>所得計算!H3</f>
        <v>0</v>
      </c>
      <c r="G23" s="48"/>
      <c r="H23" s="57">
        <f>所得計算!L12</f>
        <v>0</v>
      </c>
      <c r="I23" s="48"/>
      <c r="J23" s="57">
        <f t="shared" ref="J23:J28" si="0">SUM(F23,H23,I23)</f>
        <v>0</v>
      </c>
      <c r="K23" s="82" t="str">
        <f t="shared" ref="K23:K28" si="1">IF(C23="〇",MAX(J23-430000,0),"0")</f>
        <v>0</v>
      </c>
      <c r="L23" s="11"/>
      <c r="P23" s="87"/>
      <c r="Q23" s="87"/>
      <c r="R23" s="87"/>
    </row>
    <row r="24" spans="1:18" s="3" customFormat="1" ht="39.950000000000003" customHeight="1">
      <c r="A24" s="11"/>
      <c r="B24" s="20" t="s">
        <v>40</v>
      </c>
      <c r="C24" s="29" t="s">
        <v>89</v>
      </c>
      <c r="D24" s="40"/>
      <c r="E24" s="49"/>
      <c r="F24" s="57">
        <f>所得計算!H4</f>
        <v>0</v>
      </c>
      <c r="G24" s="49"/>
      <c r="H24" s="57">
        <f>所得計算!L13</f>
        <v>0</v>
      </c>
      <c r="I24" s="49"/>
      <c r="J24" s="57">
        <f t="shared" si="0"/>
        <v>0</v>
      </c>
      <c r="K24" s="82" t="str">
        <f t="shared" si="1"/>
        <v>0</v>
      </c>
      <c r="L24" s="11"/>
      <c r="P24" s="88"/>
      <c r="Q24" s="88"/>
      <c r="R24" s="88"/>
    </row>
    <row r="25" spans="1:18" s="3" customFormat="1" ht="39.950000000000003" customHeight="1">
      <c r="A25" s="11"/>
      <c r="B25" s="20" t="s">
        <v>41</v>
      </c>
      <c r="C25" s="29" t="s">
        <v>89</v>
      </c>
      <c r="D25" s="40"/>
      <c r="E25" s="49"/>
      <c r="F25" s="57">
        <f>所得計算!H5</f>
        <v>0</v>
      </c>
      <c r="G25" s="49"/>
      <c r="H25" s="57">
        <f>所得計算!L14</f>
        <v>0</v>
      </c>
      <c r="I25" s="49"/>
      <c r="J25" s="57">
        <f t="shared" si="0"/>
        <v>0</v>
      </c>
      <c r="K25" s="82" t="str">
        <f t="shared" si="1"/>
        <v>0</v>
      </c>
      <c r="L25" s="11"/>
      <c r="P25" s="88"/>
      <c r="Q25" s="88"/>
      <c r="R25" s="88"/>
    </row>
    <row r="26" spans="1:18" s="3" customFormat="1" ht="39.950000000000003" customHeight="1">
      <c r="A26" s="11"/>
      <c r="B26" s="20" t="s">
        <v>42</v>
      </c>
      <c r="C26" s="29" t="s">
        <v>89</v>
      </c>
      <c r="D26" s="40"/>
      <c r="E26" s="49"/>
      <c r="F26" s="57">
        <f>所得計算!H6</f>
        <v>0</v>
      </c>
      <c r="G26" s="49"/>
      <c r="H26" s="57">
        <f>所得計算!L15</f>
        <v>0</v>
      </c>
      <c r="I26" s="49"/>
      <c r="J26" s="57">
        <f t="shared" si="0"/>
        <v>0</v>
      </c>
      <c r="K26" s="82" t="str">
        <f t="shared" si="1"/>
        <v>0</v>
      </c>
      <c r="L26" s="11"/>
    </row>
    <row r="27" spans="1:18" s="3" customFormat="1" ht="39.950000000000003" customHeight="1">
      <c r="A27" s="11"/>
      <c r="B27" s="20" t="s">
        <v>43</v>
      </c>
      <c r="C27" s="29" t="s">
        <v>89</v>
      </c>
      <c r="D27" s="40"/>
      <c r="E27" s="49"/>
      <c r="F27" s="57">
        <f>所得計算!H7</f>
        <v>0</v>
      </c>
      <c r="G27" s="49"/>
      <c r="H27" s="57">
        <f>所得計算!L16</f>
        <v>0</v>
      </c>
      <c r="I27" s="49"/>
      <c r="J27" s="57">
        <f t="shared" si="0"/>
        <v>0</v>
      </c>
      <c r="K27" s="82" t="str">
        <f t="shared" si="1"/>
        <v>0</v>
      </c>
      <c r="L27" s="11"/>
      <c r="P27" s="88"/>
      <c r="Q27" s="88"/>
    </row>
    <row r="28" spans="1:18" s="3" customFormat="1" ht="39.950000000000003" customHeight="1">
      <c r="A28" s="11"/>
      <c r="B28" s="20" t="s">
        <v>44</v>
      </c>
      <c r="C28" s="30" t="s">
        <v>89</v>
      </c>
      <c r="D28" s="41"/>
      <c r="E28" s="50"/>
      <c r="F28" s="58">
        <f>所得計算!H8</f>
        <v>0</v>
      </c>
      <c r="G28" s="50"/>
      <c r="H28" s="58">
        <f>所得計算!L17</f>
        <v>0</v>
      </c>
      <c r="I28" s="50"/>
      <c r="J28" s="58">
        <f t="shared" si="0"/>
        <v>0</v>
      </c>
      <c r="K28" s="83" t="str">
        <f t="shared" si="1"/>
        <v>0</v>
      </c>
      <c r="L28" s="11"/>
    </row>
    <row r="29" spans="1:18" ht="1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6"/>
    </row>
    <row r="30" spans="1:18" ht="1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6"/>
    </row>
    <row r="31" spans="1:18" s="4" customFormat="1" ht="1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</row>
    <row r="32" spans="1:18" s="4" customFormat="1" ht="15" customHeight="1">
      <c r="A32" s="1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13"/>
    </row>
    <row r="33" spans="1:12" s="4" customFormat="1" ht="80.099999999999994" customHeight="1">
      <c r="A33" s="13"/>
      <c r="B33" s="22" t="s">
        <v>82</v>
      </c>
      <c r="C33" s="22"/>
      <c r="D33" s="22"/>
      <c r="E33" s="22"/>
      <c r="F33" s="22"/>
      <c r="G33" s="22"/>
      <c r="H33" s="22"/>
      <c r="I33" s="22"/>
      <c r="J33" s="22"/>
      <c r="K33" s="22"/>
      <c r="L33" s="13"/>
    </row>
    <row r="34" spans="1:12" s="4" customForma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>
      <c r="A35" s="6"/>
      <c r="B35" s="13"/>
      <c r="C35" s="13"/>
      <c r="D35" s="13"/>
      <c r="E35" s="13"/>
      <c r="F35" s="13"/>
      <c r="G35" s="13"/>
      <c r="H35" s="13"/>
      <c r="I35" s="13"/>
      <c r="J35" s="13"/>
      <c r="K35" s="6"/>
      <c r="L35" s="6"/>
    </row>
    <row r="36" spans="1:12">
      <c r="A36" s="6"/>
      <c r="B36" s="13"/>
      <c r="C36" s="13"/>
      <c r="D36" s="13"/>
      <c r="E36" s="13"/>
      <c r="F36" s="13"/>
      <c r="G36" s="13"/>
      <c r="H36" s="13"/>
      <c r="I36" s="13"/>
      <c r="J36" s="13"/>
      <c r="K36" s="6"/>
      <c r="L36" s="6"/>
    </row>
    <row r="37" spans="1:12">
      <c r="A37" s="6"/>
      <c r="B37" s="13"/>
      <c r="C37" s="13"/>
      <c r="D37" s="13"/>
      <c r="E37" s="13"/>
      <c r="F37" s="13"/>
      <c r="G37" s="13"/>
      <c r="H37" s="13"/>
      <c r="I37" s="13"/>
      <c r="J37" s="13"/>
      <c r="K37" s="6"/>
      <c r="L37" s="6"/>
    </row>
    <row r="38" spans="1:12" ht="18.75" customHeight="1">
      <c r="A38" s="6"/>
      <c r="B38" s="23" t="s">
        <v>86</v>
      </c>
      <c r="C38" s="31"/>
      <c r="D38" s="23" t="s">
        <v>63</v>
      </c>
      <c r="E38" s="31"/>
      <c r="F38" s="23" t="s">
        <v>84</v>
      </c>
      <c r="G38" s="31"/>
      <c r="H38" s="66" t="s">
        <v>85</v>
      </c>
      <c r="I38" s="70"/>
      <c r="J38" s="79" t="s">
        <v>113</v>
      </c>
      <c r="K38" s="84"/>
    </row>
    <row r="39" spans="1:12" ht="20.25" customHeight="1">
      <c r="A39" s="6"/>
      <c r="B39" s="24"/>
      <c r="C39" s="32"/>
      <c r="D39" s="24"/>
      <c r="E39" s="32"/>
      <c r="F39" s="24"/>
      <c r="G39" s="32"/>
      <c r="H39" s="67"/>
      <c r="I39" s="71"/>
      <c r="J39" s="80"/>
      <c r="K39" s="85"/>
    </row>
    <row r="40" spans="1:12" ht="19.5" customHeight="1">
      <c r="A40" s="6"/>
      <c r="B40" s="24"/>
      <c r="C40" s="32"/>
      <c r="D40" s="24"/>
      <c r="E40" s="32"/>
      <c r="F40" s="24"/>
      <c r="G40" s="32"/>
      <c r="H40" s="67"/>
      <c r="I40" s="71"/>
      <c r="J40" s="80"/>
      <c r="K40" s="85"/>
    </row>
    <row r="41" spans="1:12" ht="19.5" customHeight="1">
      <c r="A41" s="6"/>
      <c r="B41" s="25"/>
      <c r="C41" s="33"/>
      <c r="D41" s="25"/>
      <c r="E41" s="33"/>
      <c r="F41" s="25"/>
      <c r="G41" s="33"/>
      <c r="H41" s="68"/>
      <c r="I41" s="72"/>
      <c r="J41" s="81"/>
      <c r="K41" s="86"/>
    </row>
    <row r="42" spans="1:12" ht="19.5" customHeight="1">
      <c r="A42" s="6"/>
      <c r="B42" s="23" t="s">
        <v>99</v>
      </c>
      <c r="C42" s="31"/>
      <c r="D42" s="42">
        <f>SUM(保険料計算!B5:B10)</f>
        <v>0</v>
      </c>
      <c r="E42" s="51"/>
      <c r="F42" s="59">
        <f>SUM(保険料計算!B13:B18)</f>
        <v>0</v>
      </c>
      <c r="G42" s="51"/>
      <c r="H42" s="59">
        <f>SUM(保険料計算!B21:B26)</f>
        <v>0</v>
      </c>
      <c r="I42" s="73"/>
      <c r="J42" s="42">
        <f>SUM(保険料計算!B29:B34)</f>
        <v>0</v>
      </c>
      <c r="K42" s="51"/>
    </row>
    <row r="43" spans="1:12" ht="19.5" customHeight="1">
      <c r="A43" s="6"/>
      <c r="B43" s="24"/>
      <c r="C43" s="32"/>
      <c r="D43" s="43"/>
      <c r="E43" s="52"/>
      <c r="F43" s="60"/>
      <c r="G43" s="52"/>
      <c r="H43" s="60"/>
      <c r="I43" s="74"/>
      <c r="J43" s="43"/>
      <c r="K43" s="52"/>
    </row>
    <row r="44" spans="1:12" ht="19.5" customHeight="1">
      <c r="A44" s="6"/>
      <c r="B44" s="24"/>
      <c r="C44" s="32"/>
      <c r="D44" s="43"/>
      <c r="E44" s="52"/>
      <c r="F44" s="60"/>
      <c r="G44" s="52"/>
      <c r="H44" s="60"/>
      <c r="I44" s="74"/>
      <c r="J44" s="43"/>
      <c r="K44" s="52"/>
    </row>
    <row r="45" spans="1:12" ht="19.5" customHeight="1">
      <c r="A45" s="6"/>
      <c r="B45" s="25"/>
      <c r="C45" s="33"/>
      <c r="D45" s="44"/>
      <c r="E45" s="53"/>
      <c r="F45" s="61"/>
      <c r="G45" s="53"/>
      <c r="H45" s="61"/>
      <c r="I45" s="75"/>
      <c r="J45" s="44"/>
      <c r="K45" s="53"/>
    </row>
    <row r="46" spans="1:12" ht="19.5" customHeight="1">
      <c r="A46" s="6"/>
      <c r="B46" s="23" t="s">
        <v>20</v>
      </c>
      <c r="C46" s="31"/>
      <c r="D46" s="45">
        <f>SUM(保険料計算!C5:J10)</f>
        <v>0</v>
      </c>
      <c r="E46" s="54"/>
      <c r="F46" s="62">
        <f>SUM(保険料計算!C13:J18)</f>
        <v>0</v>
      </c>
      <c r="G46" s="54"/>
      <c r="H46" s="62">
        <f>SUM(保険料計算!C21:F26)</f>
        <v>0</v>
      </c>
      <c r="I46" s="76"/>
      <c r="J46" s="45">
        <f>SUM(保険料計算!C29:F34)</f>
        <v>0</v>
      </c>
      <c r="K46" s="54"/>
    </row>
    <row r="47" spans="1:12" ht="19.5" customHeight="1">
      <c r="A47" s="6"/>
      <c r="B47" s="24"/>
      <c r="C47" s="32"/>
      <c r="D47" s="43"/>
      <c r="E47" s="52"/>
      <c r="F47" s="60"/>
      <c r="G47" s="52"/>
      <c r="H47" s="60"/>
      <c r="I47" s="74"/>
      <c r="J47" s="43"/>
      <c r="K47" s="52"/>
    </row>
    <row r="48" spans="1:12" ht="19.5" customHeight="1">
      <c r="A48" s="6"/>
      <c r="B48" s="24"/>
      <c r="C48" s="32"/>
      <c r="D48" s="43"/>
      <c r="E48" s="52"/>
      <c r="F48" s="60"/>
      <c r="G48" s="52"/>
      <c r="H48" s="60"/>
      <c r="I48" s="74"/>
      <c r="J48" s="43"/>
      <c r="K48" s="52"/>
    </row>
    <row r="49" spans="1:12" ht="19.5" customHeight="1">
      <c r="A49" s="6"/>
      <c r="B49" s="25"/>
      <c r="C49" s="33"/>
      <c r="D49" s="44"/>
      <c r="E49" s="53"/>
      <c r="F49" s="61"/>
      <c r="G49" s="53"/>
      <c r="H49" s="61"/>
      <c r="I49" s="75"/>
      <c r="J49" s="44"/>
      <c r="K49" s="53"/>
    </row>
    <row r="50" spans="1:12" ht="19.5" customHeight="1">
      <c r="A50" s="6"/>
      <c r="B50" s="23" t="s">
        <v>35</v>
      </c>
      <c r="C50" s="31"/>
      <c r="D50" s="45">
        <f>SUM(保険料計算!K5:N5)</f>
        <v>0</v>
      </c>
      <c r="E50" s="54"/>
      <c r="F50" s="62">
        <f>SUM(保険料計算!K13:N13)</f>
        <v>0</v>
      </c>
      <c r="G50" s="54"/>
      <c r="H50" s="62">
        <f>SUM(保険料計算!G21:J21)</f>
        <v>0</v>
      </c>
      <c r="I50" s="76"/>
      <c r="J50" s="45">
        <f>SUM(保険料計算!G29:J29)</f>
        <v>0</v>
      </c>
      <c r="K50" s="54"/>
    </row>
    <row r="51" spans="1:12" ht="19.5" customHeight="1">
      <c r="A51" s="6"/>
      <c r="B51" s="24"/>
      <c r="C51" s="32"/>
      <c r="D51" s="43"/>
      <c r="E51" s="52"/>
      <c r="F51" s="60"/>
      <c r="G51" s="52"/>
      <c r="H51" s="60"/>
      <c r="I51" s="74"/>
      <c r="J51" s="43"/>
      <c r="K51" s="52"/>
    </row>
    <row r="52" spans="1:12" ht="19.5" customHeight="1">
      <c r="A52" s="6"/>
      <c r="B52" s="24"/>
      <c r="C52" s="32"/>
      <c r="D52" s="43"/>
      <c r="E52" s="52"/>
      <c r="F52" s="60"/>
      <c r="G52" s="52"/>
      <c r="H52" s="60"/>
      <c r="I52" s="74"/>
      <c r="J52" s="43"/>
      <c r="K52" s="52"/>
    </row>
    <row r="53" spans="1:12" ht="19.5" customHeight="1">
      <c r="A53" s="6"/>
      <c r="B53" s="25"/>
      <c r="C53" s="33"/>
      <c r="D53" s="46"/>
      <c r="E53" s="55"/>
      <c r="F53" s="63"/>
      <c r="G53" s="55"/>
      <c r="H53" s="63"/>
      <c r="I53" s="77"/>
      <c r="J53" s="46"/>
      <c r="K53" s="55"/>
    </row>
    <row r="54" spans="1:12" ht="20.25" customHeight="1">
      <c r="A54" s="6"/>
      <c r="B54" s="23" t="s">
        <v>87</v>
      </c>
      <c r="C54" s="31"/>
      <c r="D54" s="42">
        <f>SUM(D42:E53)</f>
        <v>0</v>
      </c>
      <c r="E54" s="51"/>
      <c r="F54" s="59">
        <f>SUM(F42:G53)</f>
        <v>0</v>
      </c>
      <c r="G54" s="51"/>
      <c r="H54" s="59">
        <f>SUM(H42:I53)</f>
        <v>0</v>
      </c>
      <c r="I54" s="73"/>
      <c r="J54" s="42">
        <f>SUM(J42:K53)</f>
        <v>0</v>
      </c>
      <c r="K54" s="51"/>
    </row>
    <row r="55" spans="1:12" ht="20.25" customHeight="1">
      <c r="A55" s="6"/>
      <c r="B55" s="24"/>
      <c r="C55" s="32"/>
      <c r="D55" s="43"/>
      <c r="E55" s="52"/>
      <c r="F55" s="60"/>
      <c r="G55" s="52"/>
      <c r="H55" s="60"/>
      <c r="I55" s="74"/>
      <c r="J55" s="43"/>
      <c r="K55" s="52"/>
    </row>
    <row r="56" spans="1:12" ht="20.25" customHeight="1">
      <c r="A56" s="6"/>
      <c r="B56" s="24"/>
      <c r="C56" s="32"/>
      <c r="D56" s="43"/>
      <c r="E56" s="52"/>
      <c r="F56" s="60"/>
      <c r="G56" s="52"/>
      <c r="H56" s="60"/>
      <c r="I56" s="74"/>
      <c r="J56" s="43"/>
      <c r="K56" s="52"/>
    </row>
    <row r="57" spans="1:12" ht="20.25" customHeight="1">
      <c r="A57" s="6"/>
      <c r="B57" s="25"/>
      <c r="C57" s="33"/>
      <c r="D57" s="46"/>
      <c r="E57" s="55"/>
      <c r="F57" s="63"/>
      <c r="G57" s="55"/>
      <c r="H57" s="63"/>
      <c r="I57" s="77"/>
      <c r="J57" s="46"/>
      <c r="K57" s="55"/>
    </row>
    <row r="58" spans="1:12" ht="19.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 s="5" customFormat="1"/>
    <row r="60" spans="1:12" ht="20.25" customHeight="1">
      <c r="A60" s="6"/>
      <c r="B60" s="23" t="s">
        <v>83</v>
      </c>
      <c r="C60" s="31"/>
      <c r="D60" s="42">
        <f>料率入力欄!F6</f>
        <v>660000</v>
      </c>
      <c r="E60" s="51"/>
      <c r="F60" s="59">
        <f>料率入力欄!F7</f>
        <v>260000</v>
      </c>
      <c r="G60" s="51"/>
      <c r="H60" s="59">
        <f>料率入力欄!F8</f>
        <v>170000</v>
      </c>
      <c r="I60" s="73"/>
      <c r="J60" s="42">
        <f>料率入力欄!F9</f>
        <v>30000</v>
      </c>
      <c r="K60" s="73"/>
    </row>
    <row r="61" spans="1:12" ht="20.25" customHeight="1">
      <c r="A61" s="6"/>
      <c r="B61" s="24"/>
      <c r="C61" s="32"/>
      <c r="D61" s="43"/>
      <c r="E61" s="52"/>
      <c r="F61" s="60"/>
      <c r="G61" s="52"/>
      <c r="H61" s="60"/>
      <c r="I61" s="74"/>
      <c r="J61" s="43"/>
      <c r="K61" s="74"/>
    </row>
    <row r="62" spans="1:12" ht="20.25" customHeight="1">
      <c r="A62" s="6"/>
      <c r="B62" s="24"/>
      <c r="C62" s="32"/>
      <c r="D62" s="43"/>
      <c r="E62" s="52"/>
      <c r="F62" s="60"/>
      <c r="G62" s="52"/>
      <c r="H62" s="60"/>
      <c r="I62" s="74"/>
      <c r="J62" s="43"/>
      <c r="K62" s="74"/>
    </row>
    <row r="63" spans="1:12" ht="20.25" customHeight="1">
      <c r="A63" s="6"/>
      <c r="B63" s="25"/>
      <c r="C63" s="33"/>
      <c r="D63" s="46"/>
      <c r="E63" s="55"/>
      <c r="F63" s="63"/>
      <c r="G63" s="55"/>
      <c r="H63" s="63"/>
      <c r="I63" s="77"/>
      <c r="J63" s="46"/>
      <c r="K63" s="77"/>
    </row>
    <row r="64" spans="1:1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8.75" customHeight="1">
      <c r="A68" s="6"/>
      <c r="B68" s="6"/>
      <c r="C68" s="34" t="s">
        <v>11</v>
      </c>
      <c r="D68" s="34"/>
      <c r="E68" s="34"/>
      <c r="F68" s="64">
        <f>IF(AND(IF(D23&lt;&gt;"",OR(C23="×",C23="〇"),OR(C23="　",C23="")),IF(D24&lt;&gt;"",OR(C24="×",C24="〇"),OR(C24="　",C24="")),IF(D25&lt;&gt;"",OR(C25="×",C25="〇"),OR(C25="　",C25="")),IF(D26&lt;&gt;"",OR(C26="×",C26="〇"),OR(C26="　",C26="")),IF(D27&lt;&gt;"",OR(C27="×",C27="〇"),OR(C27="　",C27="")),IF(D28&lt;&gt;"",OR(C28="×",C28="〇"),OR(C28="　",C28=""))),SUM(IF(D54&lt;D60,D54,D60),IF(F54&lt;F60,F54,F60),IF(H54&lt;H60,H54,H60),IF(J54&lt;J60,J54,J60)),"入力が正しくありません")</f>
        <v>0</v>
      </c>
      <c r="G68" s="64"/>
      <c r="H68" s="64"/>
      <c r="I68" s="64"/>
      <c r="J68" s="64"/>
      <c r="K68" s="6"/>
      <c r="L68" s="6"/>
    </row>
    <row r="69" spans="1:12" ht="18.75" customHeight="1">
      <c r="A69" s="6"/>
      <c r="B69" s="6"/>
      <c r="C69" s="34"/>
      <c r="D69" s="34"/>
      <c r="E69" s="34"/>
      <c r="F69" s="64"/>
      <c r="G69" s="64"/>
      <c r="H69" s="64"/>
      <c r="I69" s="64"/>
      <c r="J69" s="64"/>
      <c r="K69" s="6"/>
      <c r="L69" s="6"/>
    </row>
    <row r="70" spans="1:12" ht="18.75" customHeight="1">
      <c r="A70" s="6"/>
      <c r="B70" s="6"/>
      <c r="C70" s="34"/>
      <c r="D70" s="34"/>
      <c r="E70" s="34"/>
      <c r="F70" s="64"/>
      <c r="G70" s="64"/>
      <c r="H70" s="64"/>
      <c r="I70" s="64"/>
      <c r="J70" s="64"/>
      <c r="K70" s="6"/>
      <c r="L70" s="6"/>
    </row>
    <row r="71" spans="1:12" ht="19.5" customHeight="1">
      <c r="A71" s="6"/>
      <c r="B71" s="6"/>
      <c r="C71" s="35"/>
      <c r="D71" s="35"/>
      <c r="E71" s="35"/>
      <c r="F71" s="65"/>
      <c r="G71" s="65"/>
      <c r="H71" s="65"/>
      <c r="I71" s="65"/>
      <c r="J71" s="65"/>
      <c r="K71" s="6"/>
      <c r="L71" s="6"/>
    </row>
    <row r="72" spans="1:1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>
      <c r="A74" s="6"/>
      <c r="B74" s="6"/>
      <c r="C74" s="36" t="s">
        <v>88</v>
      </c>
      <c r="D74" s="36"/>
      <c r="E74" s="36"/>
      <c r="F74" s="36"/>
      <c r="G74" s="36"/>
      <c r="H74" s="64">
        <f>ROUND(F68/12,0)</f>
        <v>0</v>
      </c>
      <c r="I74" s="64"/>
      <c r="J74" s="64"/>
      <c r="K74" s="6"/>
      <c r="L74" s="6"/>
    </row>
    <row r="75" spans="1:12">
      <c r="A75" s="6"/>
      <c r="B75" s="6"/>
      <c r="C75" s="36"/>
      <c r="D75" s="36"/>
      <c r="E75" s="36"/>
      <c r="F75" s="36"/>
      <c r="G75" s="36"/>
      <c r="H75" s="64"/>
      <c r="I75" s="64"/>
      <c r="J75" s="64"/>
      <c r="K75" s="6"/>
      <c r="L75" s="6"/>
    </row>
    <row r="76" spans="1:12">
      <c r="A76" s="6"/>
      <c r="B76" s="6"/>
      <c r="C76" s="36"/>
      <c r="D76" s="36"/>
      <c r="E76" s="36"/>
      <c r="F76" s="36"/>
      <c r="G76" s="36"/>
      <c r="H76" s="64"/>
      <c r="I76" s="64"/>
      <c r="J76" s="64"/>
      <c r="K76" s="6"/>
      <c r="L76" s="6"/>
    </row>
    <row r="77" spans="1:12">
      <c r="A77" s="6"/>
      <c r="B77" s="6"/>
      <c r="C77" s="37"/>
      <c r="D77" s="37"/>
      <c r="E77" s="37"/>
      <c r="F77" s="37"/>
      <c r="G77" s="37"/>
      <c r="H77" s="65"/>
      <c r="I77" s="65"/>
      <c r="J77" s="65"/>
      <c r="K77" s="6"/>
      <c r="L77" s="6"/>
    </row>
    <row r="78" spans="1:1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30.75" customHeight="1">
      <c r="A79" s="6"/>
      <c r="B79" s="6"/>
      <c r="C79" s="38" t="s">
        <v>98</v>
      </c>
      <c r="D79" s="6"/>
      <c r="E79" s="6"/>
      <c r="F79" s="6"/>
      <c r="G79" s="6"/>
      <c r="H79" s="6"/>
      <c r="I79" s="6"/>
      <c r="J79" s="6"/>
      <c r="K79" s="6"/>
      <c r="L79" s="6"/>
    </row>
    <row r="80" spans="1:1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</sheetData>
  <sheetProtection password="CC1B" sheet="1" objects="1" scenarios="1" selectLockedCells="1"/>
  <mergeCells count="38">
    <mergeCell ref="E21:I21"/>
    <mergeCell ref="B33:K33"/>
    <mergeCell ref="A58:L58"/>
    <mergeCell ref="B3:K5"/>
    <mergeCell ref="B38:C41"/>
    <mergeCell ref="D38:E41"/>
    <mergeCell ref="F38:G41"/>
    <mergeCell ref="H38:I41"/>
    <mergeCell ref="J38:K41"/>
    <mergeCell ref="B42:C45"/>
    <mergeCell ref="D42:E45"/>
    <mergeCell ref="F42:G45"/>
    <mergeCell ref="H42:I45"/>
    <mergeCell ref="J42:K45"/>
    <mergeCell ref="B46:C49"/>
    <mergeCell ref="D46:E49"/>
    <mergeCell ref="F46:G49"/>
    <mergeCell ref="H46:I49"/>
    <mergeCell ref="J46:K49"/>
    <mergeCell ref="B50:C53"/>
    <mergeCell ref="D50:E53"/>
    <mergeCell ref="F50:G53"/>
    <mergeCell ref="H50:I53"/>
    <mergeCell ref="J50:K53"/>
    <mergeCell ref="B54:C57"/>
    <mergeCell ref="D54:E57"/>
    <mergeCell ref="F54:G57"/>
    <mergeCell ref="H54:I57"/>
    <mergeCell ref="J54:K57"/>
    <mergeCell ref="B60:C63"/>
    <mergeCell ref="D60:E63"/>
    <mergeCell ref="F60:G63"/>
    <mergeCell ref="H60:I63"/>
    <mergeCell ref="J60:K63"/>
    <mergeCell ref="C68:E71"/>
    <mergeCell ref="F68:J71"/>
    <mergeCell ref="C74:G77"/>
    <mergeCell ref="H74:J77"/>
  </mergeCells>
  <phoneticPr fontId="1"/>
  <dataValidations count="1">
    <dataValidation type="list" allowBlank="0" showDropDown="0" showInputMessage="1" showErrorMessage="1" sqref="C23:C28">
      <formula1>"　,〇,×"</formula1>
    </dataValidation>
  </dataValidations>
  <printOptions horizontalCentered="1"/>
  <pageMargins left="0.25" right="0.25" top="0.75" bottom="0.75" header="0.3" footer="0.3"/>
  <pageSetup paperSize="9" scale="36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5"/>
  <sheetViews>
    <sheetView zoomScale="55" zoomScaleNormal="55" zoomScaleSheetLayoutView="45" workbookViewId="0"/>
  </sheetViews>
  <sheetFormatPr defaultRowHeight="18.75"/>
  <cols>
    <col min="1" max="1" width="20.625" style="14" customWidth="1"/>
    <col min="2" max="2" width="22.625" style="14" customWidth="1"/>
    <col min="3" max="15" width="22.625" customWidth="1"/>
  </cols>
  <sheetData>
    <row r="1" spans="1:15" ht="39.950000000000003" customHeight="1">
      <c r="A1" s="89" t="s">
        <v>1</v>
      </c>
      <c r="B1" s="90" t="s">
        <v>60</v>
      </c>
      <c r="C1" s="104"/>
      <c r="D1" s="104"/>
      <c r="E1" s="104"/>
      <c r="F1" s="114"/>
      <c r="G1" s="122" t="s">
        <v>53</v>
      </c>
      <c r="H1" s="122" t="s">
        <v>28</v>
      </c>
    </row>
    <row r="2" spans="1:15" ht="39.950000000000003" customHeight="1">
      <c r="A2" s="90" t="s">
        <v>62</v>
      </c>
      <c r="B2" s="95" t="s">
        <v>107</v>
      </c>
      <c r="C2" s="105" t="s">
        <v>108</v>
      </c>
      <c r="D2" s="105" t="s">
        <v>23</v>
      </c>
      <c r="E2" s="105" t="s">
        <v>47</v>
      </c>
      <c r="F2" s="115" t="s">
        <v>49</v>
      </c>
      <c r="G2" s="123"/>
      <c r="H2" s="123"/>
    </row>
    <row r="3" spans="1:15" ht="39.950000000000003" customHeight="1">
      <c r="A3" s="90" t="s">
        <v>17</v>
      </c>
      <c r="B3" s="96" t="str">
        <f>IF(AND(試算シート!E23&gt;650999,試算シート!E23&lt;=1899999),MAX(試算シート!E23-650000,0),"0")</f>
        <v>0</v>
      </c>
      <c r="C3" s="106" t="str">
        <f>IF(AND(1900000&lt;=試算シート!E23,試算シート!E23&lt;=3603999),QUOTIENT(試算シート!E23,4000)*4000*0.7-80000,"0")</f>
        <v>0</v>
      </c>
      <c r="D3" s="106" t="str">
        <f>IF(AND(3604000&lt;=試算シート!E23,試算シート!E23&lt;=6599999),QUOTIENT(試算シート!E23,4000)*4000*0.8-440000,"0")</f>
        <v>0</v>
      </c>
      <c r="E3" s="106" t="str">
        <f>IF(AND(6600000&lt;=試算シート!E23,試算シート!E23&lt;=8500000),試算シート!E23*0.9-1100000,"0")</f>
        <v>0</v>
      </c>
      <c r="F3" s="116" t="str">
        <f>IF(8500001&lt;=試算シート!E23,試算シート!E23-1950000,"0")</f>
        <v>0</v>
      </c>
      <c r="G3" s="124">
        <f t="shared" ref="G3:G8" si="0">SUM(B3:F3)</f>
        <v>0</v>
      </c>
      <c r="H3" s="129">
        <f t="shared" ref="H3:H8" si="1">IF(100000&lt;=SUM(G3,L12),G3-SUM(IF(100000&lt;=G3,100000,G3),IF(100000&lt;=L12,100000,L12)-100000),G3)</f>
        <v>0</v>
      </c>
    </row>
    <row r="4" spans="1:15" ht="39.950000000000003" customHeight="1">
      <c r="A4" s="90" t="s">
        <v>25</v>
      </c>
      <c r="B4" s="96" t="str">
        <f>IF(AND(試算シート!E24&gt;650999,試算シート!E24&lt;=1899999),MAX(試算シート!E24-650000,0),"0")</f>
        <v>0</v>
      </c>
      <c r="C4" s="106" t="str">
        <f>IF(AND(1900000&lt;=試算シート!E24,試算シート!E24&lt;=3603999),QUOTIENT(試算シート!E24,4000)*4000*0.7-80000,"0")</f>
        <v>0</v>
      </c>
      <c r="D4" s="106" t="str">
        <f>IF(AND(3604000&lt;=試算シート!E24,試算シート!E24&lt;=6599999),QUOTIENT(試算シート!E24,4000)*4000*0.8-440000,"0")</f>
        <v>0</v>
      </c>
      <c r="E4" s="106" t="str">
        <f>IF(AND(6600000&lt;=試算シート!E24,試算シート!E24&lt;=8500000),試算シート!E24*0.9-1100000,"0")</f>
        <v>0</v>
      </c>
      <c r="F4" s="116" t="str">
        <f>IF(8500001&lt;=試算シート!E24,試算シート!E24-1950000,"0")</f>
        <v>0</v>
      </c>
      <c r="G4" s="124">
        <f t="shared" si="0"/>
        <v>0</v>
      </c>
      <c r="H4" s="129">
        <f t="shared" si="1"/>
        <v>0</v>
      </c>
    </row>
    <row r="5" spans="1:15" ht="39.950000000000003" customHeight="1">
      <c r="A5" s="90" t="s">
        <v>18</v>
      </c>
      <c r="B5" s="96" t="str">
        <f>IF(AND(試算シート!E25&gt;650999,試算シート!E25&lt;=1899999),MAX(試算シート!E25-650000,0),"0")</f>
        <v>0</v>
      </c>
      <c r="C5" s="106" t="str">
        <f>IF(AND(1900000&lt;=試算シート!E25,試算シート!E25&lt;=3603999),QUOTIENT(試算シート!E25,4000)*4000*0.7-80000,"0")</f>
        <v>0</v>
      </c>
      <c r="D5" s="106" t="str">
        <f>IF(AND(3604000&lt;=試算シート!E25,試算シート!E25&lt;=6599999),QUOTIENT(試算シート!E25,4000)*4000*0.8-440000,"0")</f>
        <v>0</v>
      </c>
      <c r="E5" s="106" t="str">
        <f>IF(AND(6600000&lt;=試算シート!E25,試算シート!E25&lt;=8500000),試算シート!E25*0.9-1100000,"0")</f>
        <v>0</v>
      </c>
      <c r="F5" s="116" t="str">
        <f>IF(8500001&lt;=試算シート!E25,試算シート!E25-1950000,"0")</f>
        <v>0</v>
      </c>
      <c r="G5" s="124">
        <f t="shared" si="0"/>
        <v>0</v>
      </c>
      <c r="H5" s="129">
        <f t="shared" si="1"/>
        <v>0</v>
      </c>
    </row>
    <row r="6" spans="1:15" ht="39.950000000000003" customHeight="1">
      <c r="A6" s="90" t="s">
        <v>9</v>
      </c>
      <c r="B6" s="96" t="str">
        <f>IF(AND(試算シート!E26&gt;650999,試算シート!E26&lt;=1899999),MAX(試算シート!E26-650000,0),"0")</f>
        <v>0</v>
      </c>
      <c r="C6" s="106" t="str">
        <f>IF(AND(1900000&lt;=試算シート!E26,試算シート!E26&lt;=3603999),QUOTIENT(試算シート!E26,4000)*4000*0.7-80000,"0")</f>
        <v>0</v>
      </c>
      <c r="D6" s="106" t="str">
        <f>IF(AND(3604000&lt;=試算シート!E26,試算シート!E26&lt;=6599999),QUOTIENT(試算シート!E26,4000)*4000*0.8-440000,"0")</f>
        <v>0</v>
      </c>
      <c r="E6" s="106" t="str">
        <f>IF(AND(6600000&lt;=試算シート!E26,試算シート!E26&lt;=8500000),試算シート!E26*0.9-1100000,"0")</f>
        <v>0</v>
      </c>
      <c r="F6" s="116" t="str">
        <f>IF(8500001&lt;=試算シート!E26,試算シート!E26-1950000,"0")</f>
        <v>0</v>
      </c>
      <c r="G6" s="124">
        <f t="shared" si="0"/>
        <v>0</v>
      </c>
      <c r="H6" s="129">
        <f t="shared" si="1"/>
        <v>0</v>
      </c>
    </row>
    <row r="7" spans="1:15" ht="39.950000000000003" customHeight="1">
      <c r="A7" s="90" t="s">
        <v>45</v>
      </c>
      <c r="B7" s="96" t="str">
        <f>IF(AND(試算シート!E27&gt;650999,試算シート!E27&lt;=1899999),MAX(試算シート!E27-650000,0),"0")</f>
        <v>0</v>
      </c>
      <c r="C7" s="106" t="str">
        <f>IF(AND(1900000&lt;=試算シート!E27,試算シート!E27&lt;=3603999),QUOTIENT(試算シート!E27,4000)*4000*0.7-80000,"0")</f>
        <v>0</v>
      </c>
      <c r="D7" s="106" t="str">
        <f>IF(AND(3604000&lt;=試算シート!E27,試算シート!E27&lt;=6599999),QUOTIENT(試算シート!E27,4000)*4000*0.8-440000,"0")</f>
        <v>0</v>
      </c>
      <c r="E7" s="106" t="str">
        <f>IF(AND(6600000&lt;=試算シート!E27,試算シート!E27&lt;=8500000),試算シート!E27*0.9-1100000,"0")</f>
        <v>0</v>
      </c>
      <c r="F7" s="116" t="str">
        <f>IF(8500001&lt;=試算シート!E27,試算シート!E27-1950000,"0")</f>
        <v>0</v>
      </c>
      <c r="G7" s="124">
        <f t="shared" si="0"/>
        <v>0</v>
      </c>
      <c r="H7" s="129">
        <f t="shared" si="1"/>
        <v>0</v>
      </c>
    </row>
    <row r="8" spans="1:15" ht="39.950000000000003" customHeight="1">
      <c r="A8" s="90" t="s">
        <v>46</v>
      </c>
      <c r="B8" s="97" t="str">
        <f>IF(AND(試算シート!E28&gt;650999,試算シート!E28&lt;=1899999),MAX(試算シート!E28-650000,0),"0")</f>
        <v>0</v>
      </c>
      <c r="C8" s="107" t="str">
        <f>IF(AND(1900000&lt;=試算シート!E28,試算シート!E28&lt;=3603999),QUOTIENT(試算シート!E28,4000)*4000*0.7-80000,"0")</f>
        <v>0</v>
      </c>
      <c r="D8" s="107" t="str">
        <f>IF(AND(3604000&lt;=試算シート!E28,試算シート!E28&lt;=6599999),QUOTIENT(試算シート!E28,4000)*4000*0.8-440000,"0")</f>
        <v>0</v>
      </c>
      <c r="E8" s="107" t="str">
        <f>IF(AND(6600000&lt;=試算シート!E28,試算シート!E28&lt;=8500000),試算シート!E28*0.9-1100000,"0")</f>
        <v>0</v>
      </c>
      <c r="F8" s="117" t="str">
        <f>IF(8500001&lt;=試算シート!E28,試算シート!E28-1950000,"0")</f>
        <v>0</v>
      </c>
      <c r="G8" s="124">
        <f t="shared" si="0"/>
        <v>0</v>
      </c>
      <c r="H8" s="129">
        <f t="shared" si="1"/>
        <v>0</v>
      </c>
    </row>
    <row r="9" spans="1:15" ht="39.950000000000003" customHeight="1">
      <c r="A9" s="91"/>
      <c r="B9" s="94"/>
      <c r="C9" s="108"/>
      <c r="D9" s="108"/>
      <c r="E9" s="108"/>
      <c r="F9" s="108"/>
      <c r="G9" s="108"/>
      <c r="H9" s="108"/>
      <c r="I9" s="108"/>
      <c r="J9" s="108"/>
      <c r="K9" s="108"/>
      <c r="L9" s="130"/>
      <c r="M9" s="130"/>
    </row>
    <row r="10" spans="1:15" ht="39.950000000000003" customHeight="1">
      <c r="A10" s="92" t="s">
        <v>61</v>
      </c>
      <c r="B10" s="98" t="s">
        <v>51</v>
      </c>
      <c r="C10" s="109"/>
      <c r="D10" s="109"/>
      <c r="E10" s="109"/>
      <c r="F10" s="118"/>
      <c r="G10" s="125" t="s">
        <v>52</v>
      </c>
      <c r="H10" s="109"/>
      <c r="I10" s="109"/>
      <c r="J10" s="109"/>
      <c r="K10" s="118"/>
      <c r="L10" s="122" t="s">
        <v>14</v>
      </c>
      <c r="M10" s="130"/>
      <c r="N10" s="132" t="s">
        <v>66</v>
      </c>
      <c r="O10" s="132" t="s">
        <v>3</v>
      </c>
    </row>
    <row r="11" spans="1:15" ht="39.950000000000003" customHeight="1">
      <c r="A11" s="93" t="s">
        <v>59</v>
      </c>
      <c r="B11" s="99" t="s">
        <v>50</v>
      </c>
      <c r="C11" s="110" t="s">
        <v>33</v>
      </c>
      <c r="D11" s="113" t="s">
        <v>5</v>
      </c>
      <c r="E11" s="110" t="s">
        <v>55</v>
      </c>
      <c r="F11" s="119" t="s">
        <v>56</v>
      </c>
      <c r="G11" s="126" t="s">
        <v>57</v>
      </c>
      <c r="H11" s="110" t="s">
        <v>58</v>
      </c>
      <c r="I11" s="113" t="s">
        <v>5</v>
      </c>
      <c r="J11" s="110" t="s">
        <v>55</v>
      </c>
      <c r="K11" s="119" t="s">
        <v>56</v>
      </c>
      <c r="L11" s="123"/>
      <c r="M11" s="130"/>
      <c r="N11" s="133"/>
      <c r="O11" s="135"/>
    </row>
    <row r="12" spans="1:15" ht="39.950000000000003" customHeight="1">
      <c r="A12" s="93" t="s">
        <v>17</v>
      </c>
      <c r="B12" s="100">
        <f>IF(AND(試算シート!D23&lt;65,試算シート!G23&lt;=1300000),MAX(試算シート!G23-600000,0),"0")</f>
        <v>0</v>
      </c>
      <c r="C12" s="111" t="str">
        <f>IF(AND(試算シート!D23&lt;65,1300001&lt;=試算シート!G23,試算シート!G23&lt;=4100000),試算シート!G23*0.75-275000,"0")</f>
        <v>0</v>
      </c>
      <c r="D12" s="111" t="str">
        <f>IF(AND(試算シート!D23&lt;65,4100001&lt;=試算シート!G23,試算シート!G23&lt;=7700000),試算シート!G23*0.85-685000,"0")</f>
        <v>0</v>
      </c>
      <c r="E12" s="111" t="str">
        <f>IF(AND(試算シート!D23&lt;65,7700001&lt;=試算シート!G23,試算シート!G23&lt;=10000000),試算シート!G23*0.95-1455000,"0")</f>
        <v>0</v>
      </c>
      <c r="F12" s="120" t="str">
        <f>IF(AND(試算シート!D23&lt;65,10000001&lt;=試算シート!G23),MAX(試算シート!G23-1955000,0),"0")</f>
        <v>0</v>
      </c>
      <c r="G12" s="127" t="str">
        <f>IF(AND(65&lt;=試算シート!D23,試算シート!G23&lt;=3300000),MAX(試算シート!G23-1100000,0),"0")</f>
        <v>0</v>
      </c>
      <c r="H12" s="111" t="str">
        <f>IF(AND(65&lt;=試算シート!D23,3300001&lt;=試算シート!G23,試算シート!G23&lt;=4100000),試算シート!G23*0.75-275000,"0")</f>
        <v>0</v>
      </c>
      <c r="I12" s="111" t="str">
        <f>IF(AND(65&lt;=試算シート!D23,4100001&lt;=試算シート!G23,試算シート!G23&lt;=7700000),試算シート!G23*0.85-685000,"0")</f>
        <v>0</v>
      </c>
      <c r="J12" s="111" t="str">
        <f>IF(AND(65&lt;=試算シート!D23,7700001&lt;=試算シート!G23,試算シート!G23&lt;=10000000),試算シート!G23*0.95-1455000,"0")</f>
        <v>0</v>
      </c>
      <c r="K12" s="120" t="str">
        <f>IF(AND(65&lt;=試算シート!D23,10000001&lt;=試算シート!G23),MAX(試算シート!G23-1955000,0),"0")</f>
        <v>0</v>
      </c>
      <c r="L12" s="131">
        <f t="shared" ref="L12:L17" si="2">SUM(B12:K12)</f>
        <v>0</v>
      </c>
      <c r="M12" s="130"/>
      <c r="N12" s="134" t="str">
        <f>IF(OR(550000&lt;=試算シート!E23,AND(試算シート!D23&lt;65,600000&lt;=試算シート!G23),AND(65&lt;=試算シート!D23,1250000&lt;=試算シート!G23)),"〇","×")</f>
        <v>×</v>
      </c>
      <c r="O12" s="136">
        <f>SUM(H3,IF(65&lt;=試算シート!D23,MAX(L12-150000,0),L12),試算シート!I23)</f>
        <v>0</v>
      </c>
    </row>
    <row r="13" spans="1:15" ht="39.950000000000003" customHeight="1">
      <c r="A13" s="93" t="s">
        <v>25</v>
      </c>
      <c r="B13" s="100">
        <f>IF(AND(試算シート!D24&lt;65,試算シート!G24&lt;=1300000),MAX(試算シート!G24-600000,0),"0")</f>
        <v>0</v>
      </c>
      <c r="C13" s="111" t="str">
        <f>IF(AND(試算シート!D24&lt;65,1300001&lt;=試算シート!G24,試算シート!G24&lt;=4100000),試算シート!G24*0.75-275000,"0")</f>
        <v>0</v>
      </c>
      <c r="D13" s="111" t="str">
        <f>IF(AND(試算シート!D24&lt;65,4100001&lt;=試算シート!G24,試算シート!G24&lt;=7700000),試算シート!G24*0.85-685000,"0")</f>
        <v>0</v>
      </c>
      <c r="E13" s="111" t="str">
        <f>IF(AND(試算シート!D24&lt;65,7700001&lt;=試算シート!G24,試算シート!G24&lt;=10000000),試算シート!G24*0.95-1455000,"0")</f>
        <v>0</v>
      </c>
      <c r="F13" s="120" t="str">
        <f>IF(AND(試算シート!D24&lt;65,10000001&lt;=試算シート!G24),MAX(試算シート!G24-1955000,0),"0")</f>
        <v>0</v>
      </c>
      <c r="G13" s="127" t="str">
        <f>IF(AND(65&lt;=試算シート!D24,試算シート!G24&lt;=3300000),MAX(試算シート!G24-1100000,0),"0")</f>
        <v>0</v>
      </c>
      <c r="H13" s="111" t="str">
        <f>IF(AND(65&lt;=試算シート!D24,3300001&lt;=試算シート!G24,試算シート!G24&lt;=4100000),試算シート!G24*0.75-275000,"0")</f>
        <v>0</v>
      </c>
      <c r="I13" s="111" t="str">
        <f>IF(AND(65&lt;=試算シート!D24,4100001&lt;=試算シート!G24,試算シート!G24&lt;=7700000),試算シート!G24*0.85-685000,"0")</f>
        <v>0</v>
      </c>
      <c r="J13" s="111" t="str">
        <f>IF(AND(65&lt;=試算シート!D24,7700001&lt;=試算シート!G24,試算シート!G24&lt;=10000000),試算シート!G24*0.95-1455000,"0")</f>
        <v>0</v>
      </c>
      <c r="K13" s="120" t="str">
        <f>IF(AND(65&lt;=試算シート!D24,10000001&lt;=試算シート!G24),MAX(試算シート!G24-1955000,0),"0")</f>
        <v>0</v>
      </c>
      <c r="L13" s="131">
        <f t="shared" si="2"/>
        <v>0</v>
      </c>
      <c r="M13" s="130"/>
      <c r="N13" s="134" t="str">
        <f>IF(OR(550000&lt;=試算シート!E24,AND(試算シート!D24&lt;65,600000&lt;=試算シート!G24),AND(65&lt;=試算シート!D24,1250000&lt;=試算シート!G24)),"〇","×")</f>
        <v>×</v>
      </c>
      <c r="O13" s="136">
        <f>IF(試算シート!C24="〇",SUM(H4,IF(65&lt;=試算シート!D24,MAX(L13-150000,0),L13),試算シート!I24),0)</f>
        <v>0</v>
      </c>
    </row>
    <row r="14" spans="1:15" ht="39.950000000000003" customHeight="1">
      <c r="A14" s="93" t="s">
        <v>18</v>
      </c>
      <c r="B14" s="100">
        <f>IF(AND(試算シート!D25&lt;65,試算シート!G25&lt;=1300000),MAX(試算シート!G25-600000,0),"0")</f>
        <v>0</v>
      </c>
      <c r="C14" s="111" t="str">
        <f>IF(AND(試算シート!D25&lt;65,1300001&lt;=試算シート!G25,試算シート!G25&lt;=4100000),試算シート!G25*0.75-275000,"0")</f>
        <v>0</v>
      </c>
      <c r="D14" s="111" t="str">
        <f>IF(AND(試算シート!D25&lt;65,4100001&lt;=試算シート!G25,試算シート!G25&lt;=7700000),試算シート!G25*0.85-685000,"0")</f>
        <v>0</v>
      </c>
      <c r="E14" s="111" t="str">
        <f>IF(AND(試算シート!D25&lt;65,7700001&lt;=試算シート!G25,試算シート!G25&lt;=10000000),試算シート!G25*0.95-1455000,"0")</f>
        <v>0</v>
      </c>
      <c r="F14" s="120" t="str">
        <f>IF(AND(試算シート!D25&lt;65,10000001&lt;=試算シート!G25),MAX(試算シート!G25-1955000,0),"0")</f>
        <v>0</v>
      </c>
      <c r="G14" s="127" t="str">
        <f>IF(AND(65&lt;=試算シート!D25,試算シート!G25&lt;=3300000),MAX(試算シート!G25-1100000,0),"0")</f>
        <v>0</v>
      </c>
      <c r="H14" s="111" t="str">
        <f>IF(AND(65&lt;=試算シート!D25,3300001&lt;=試算シート!G25,試算シート!G25&lt;=4100000),試算シート!G25*0.75-275000,"0")</f>
        <v>0</v>
      </c>
      <c r="I14" s="111" t="str">
        <f>IF(AND(65&lt;=試算シート!D25,4100001&lt;=試算シート!G25,試算シート!G25&lt;=7700000),試算シート!G25*0.85-685000,"0")</f>
        <v>0</v>
      </c>
      <c r="J14" s="111" t="str">
        <f>IF(AND(65&lt;=試算シート!D25,7700001&lt;=試算シート!G25,試算シート!G25&lt;=10000000),試算シート!G25*0.95-1455000,"0")</f>
        <v>0</v>
      </c>
      <c r="K14" s="120" t="str">
        <f>IF(AND(65&lt;=試算シート!D25,10000001&lt;=試算シート!G25),MAX(試算シート!G25-1955000,0),"0")</f>
        <v>0</v>
      </c>
      <c r="L14" s="131">
        <f t="shared" si="2"/>
        <v>0</v>
      </c>
      <c r="M14" s="130"/>
      <c r="N14" s="134" t="str">
        <f>IF(OR(550000&lt;=試算シート!E25,AND(試算シート!D25&lt;65,600000&lt;=試算シート!G25),AND(65&lt;=試算シート!D25,1250000&lt;=試算シート!G25)),"〇","×")</f>
        <v>×</v>
      </c>
      <c r="O14" s="136">
        <f>IF(試算シート!C25="〇",SUM(H5,IF(65&lt;=試算シート!D25,MAX(L14-150000,0),L14),試算シート!I25),0)</f>
        <v>0</v>
      </c>
    </row>
    <row r="15" spans="1:15" ht="39.950000000000003" customHeight="1">
      <c r="A15" s="93" t="s">
        <v>9</v>
      </c>
      <c r="B15" s="100">
        <f>IF(AND(試算シート!D26&lt;65,試算シート!G26&lt;=1300000),MAX(試算シート!G26-600000,0),"0")</f>
        <v>0</v>
      </c>
      <c r="C15" s="111" t="str">
        <f>IF(AND(試算シート!D26&lt;65,1300001&lt;=試算シート!G26,試算シート!G26&lt;=4100000),試算シート!G26*0.75-275000,"0")</f>
        <v>0</v>
      </c>
      <c r="D15" s="111" t="str">
        <f>IF(AND(試算シート!D26&lt;65,4100001&lt;=試算シート!G26,試算シート!G26&lt;=7700000),試算シート!G26*0.85-685000,"0")</f>
        <v>0</v>
      </c>
      <c r="E15" s="111" t="str">
        <f>IF(AND(試算シート!D26&lt;65,7700001&lt;=試算シート!G26,試算シート!G26&lt;=10000000),試算シート!G26*0.95-1455000,"0")</f>
        <v>0</v>
      </c>
      <c r="F15" s="120" t="str">
        <f>IF(AND(試算シート!D26&lt;65,10000001&lt;=試算シート!G26),MAX(試算シート!G26-1955000,0),"0")</f>
        <v>0</v>
      </c>
      <c r="G15" s="127" t="str">
        <f>IF(AND(65&lt;=試算シート!D26,試算シート!G26&lt;=3300000),MAX(試算シート!G26-1100000,0),"0")</f>
        <v>0</v>
      </c>
      <c r="H15" s="111" t="str">
        <f>IF(AND(65&lt;=試算シート!D26,3300001&lt;=試算シート!G26,試算シート!G26&lt;=4100000),試算シート!G26*0.75-275000,"0")</f>
        <v>0</v>
      </c>
      <c r="I15" s="111" t="str">
        <f>IF(AND(65&lt;=試算シート!D26,4100001&lt;=試算シート!G26,試算シート!G26&lt;=7700000),試算シート!G26*0.85-685000,"0")</f>
        <v>0</v>
      </c>
      <c r="J15" s="111" t="str">
        <f>IF(AND(65&lt;=試算シート!D26,7700001&lt;=試算シート!G26,試算シート!G26&lt;=10000000),試算シート!G26*0.95-1455000,"0")</f>
        <v>0</v>
      </c>
      <c r="K15" s="120" t="str">
        <f>IF(AND(65&lt;=試算シート!D26,10000001&lt;=試算シート!G26),MAX(試算シート!G26-1955000,0),"0")</f>
        <v>0</v>
      </c>
      <c r="L15" s="131">
        <f t="shared" si="2"/>
        <v>0</v>
      </c>
      <c r="M15" s="130"/>
      <c r="N15" s="134" t="str">
        <f>IF(OR(550000&lt;=試算シート!E26,AND(試算シート!D26&lt;65,600000&lt;=試算シート!G26),AND(65&lt;=試算シート!D26,1250000&lt;=試算シート!G26)),"〇","×")</f>
        <v>×</v>
      </c>
      <c r="O15" s="136">
        <f>IF(試算シート!C26="〇",SUM(H6,IF(65&lt;=試算シート!D26,MAX(L15-150000,0),L15),試算シート!I26),0)</f>
        <v>0</v>
      </c>
    </row>
    <row r="16" spans="1:15" ht="39.950000000000003" customHeight="1">
      <c r="A16" s="93" t="s">
        <v>45</v>
      </c>
      <c r="B16" s="100">
        <f>IF(AND(試算シート!D27&lt;65,試算シート!G27&lt;=1300000),MAX(試算シート!G27-600000,0),"0")</f>
        <v>0</v>
      </c>
      <c r="C16" s="111" t="str">
        <f>IF(AND(試算シート!D27&lt;65,1300001&lt;=試算シート!G27,試算シート!G27&lt;=4100000),試算シート!G27*0.75-275000,"0")</f>
        <v>0</v>
      </c>
      <c r="D16" s="111" t="str">
        <f>IF(AND(試算シート!D27&lt;65,4100001&lt;=試算シート!G27,試算シート!G27&lt;=7700000),試算シート!G27*0.85-685000,"0")</f>
        <v>0</v>
      </c>
      <c r="E16" s="111" t="str">
        <f>IF(AND(試算シート!D27&lt;65,7700001&lt;=試算シート!G27,試算シート!G27&lt;=10000000),試算シート!G27*0.95-1455000,"0")</f>
        <v>0</v>
      </c>
      <c r="F16" s="120" t="str">
        <f>IF(AND(試算シート!D27&lt;65,10000001&lt;=試算シート!G27),MAX(試算シート!G27-1955000,0),"0")</f>
        <v>0</v>
      </c>
      <c r="G16" s="127" t="str">
        <f>IF(AND(65&lt;=試算シート!D27,試算シート!G27&lt;=3300000),MAX(試算シート!G27-1100000,0),"0")</f>
        <v>0</v>
      </c>
      <c r="H16" s="111" t="str">
        <f>IF(AND(65&lt;=試算シート!D27,3300001&lt;=試算シート!G27,試算シート!G27&lt;=4100000),試算シート!G27*0.75-275000,"0")</f>
        <v>0</v>
      </c>
      <c r="I16" s="111" t="str">
        <f>IF(AND(65&lt;=試算シート!D27,4100001&lt;=試算シート!G27,試算シート!G27&lt;=7700000),試算シート!G27*0.85-685000,"0")</f>
        <v>0</v>
      </c>
      <c r="J16" s="111" t="str">
        <f>IF(AND(65&lt;=試算シート!D27,7700001&lt;=試算シート!G27,試算シート!G27&lt;=10000000),試算シート!G27*0.95-1455000,"0")</f>
        <v>0</v>
      </c>
      <c r="K16" s="120" t="str">
        <f>IF(AND(65&lt;=試算シート!D27,10000001&lt;=試算シート!G27),MAX(試算シート!G27-1955000,0),"0")</f>
        <v>0</v>
      </c>
      <c r="L16" s="131">
        <f t="shared" si="2"/>
        <v>0</v>
      </c>
      <c r="M16" s="130"/>
      <c r="N16" s="134" t="str">
        <f>IF(OR(550000&lt;=試算シート!E27,AND(試算シート!D27&lt;65,600000&lt;=試算シート!G27),AND(65&lt;=試算シート!D27,1250000&lt;=試算シート!G27)),"〇","×")</f>
        <v>×</v>
      </c>
      <c r="O16" s="136">
        <f>IF(試算シート!C27="〇",SUM(H7,IF(65&lt;=試算シート!D27,MAX(L16-150000,0),L16),試算シート!I27),0)</f>
        <v>0</v>
      </c>
    </row>
    <row r="17" spans="1:15" ht="39.950000000000003" customHeight="1">
      <c r="A17" s="93" t="s">
        <v>46</v>
      </c>
      <c r="B17" s="101">
        <f>IF(AND(試算シート!D28&lt;65,試算シート!G28&lt;=1300000),MAX(試算シート!G28-600000,0),"0")</f>
        <v>0</v>
      </c>
      <c r="C17" s="112" t="str">
        <f>IF(AND(試算シート!D28&lt;65,1300001&lt;=試算シート!G28,試算シート!G28&lt;=4100000),試算シート!G28*0.75-275000,"0")</f>
        <v>0</v>
      </c>
      <c r="D17" s="112" t="str">
        <f>IF(AND(試算シート!D28&lt;65,4100001&lt;=試算シート!G28,試算シート!G28&lt;=7700000),試算シート!G28*0.85-685000,"0")</f>
        <v>0</v>
      </c>
      <c r="E17" s="112" t="str">
        <f>IF(AND(試算シート!D28&lt;65,7700001&lt;=試算シート!G28,試算シート!G28&lt;=10000000),試算シート!G28*0.95-1455000,"0")</f>
        <v>0</v>
      </c>
      <c r="F17" s="121" t="str">
        <f>IF(AND(試算シート!D28&lt;65,10000001&lt;=試算シート!G28),MAX(試算シート!G28-1955000,0),"0")</f>
        <v>0</v>
      </c>
      <c r="G17" s="128" t="str">
        <f>IF(AND(65&lt;=試算シート!D28,試算シート!G28&lt;=3300000),MAX(試算シート!G28-1100000,0),"0")</f>
        <v>0</v>
      </c>
      <c r="H17" s="112" t="str">
        <f>IF(AND(65&lt;=試算シート!D28,3300001&lt;=試算シート!G28,試算シート!G28&lt;=4100000),試算シート!G28*0.75-275000,"0")</f>
        <v>0</v>
      </c>
      <c r="I17" s="112" t="str">
        <f>IF(AND(65&lt;=試算シート!D28,4100001&lt;=試算シート!G28,試算シート!G28&lt;=7700000),試算シート!G28*0.85-685000,"0")</f>
        <v>0</v>
      </c>
      <c r="J17" s="112" t="str">
        <f>IF(AND(65&lt;=試算シート!D28,7700001&lt;=試算シート!G28,試算シート!G28&lt;=10000000),試算シート!G28*0.95-1455000,"0")</f>
        <v>0</v>
      </c>
      <c r="K17" s="121" t="str">
        <f>IF(AND(65&lt;=試算シート!D28,10000001&lt;=試算シート!G28),MAX(試算シート!G28-1955000,0),"0")</f>
        <v>0</v>
      </c>
      <c r="L17" s="131">
        <f t="shared" si="2"/>
        <v>0</v>
      </c>
      <c r="M17" s="130"/>
      <c r="N17" s="134" t="str">
        <f>IF(OR(550000&lt;=試算シート!E28,AND(試算シート!D28&lt;65,600000&lt;=試算シート!G28),AND(65&lt;=試算シート!D28,1250000&lt;=試算シート!G28)),"〇","×")</f>
        <v>×</v>
      </c>
      <c r="O17" s="136">
        <f>IF(試算シート!C28="〇",SUM(H8,IF(65&lt;=試算シート!D28,MAX(L17-150000,0),L17),試算シート!I28),0)</f>
        <v>0</v>
      </c>
    </row>
    <row r="18" spans="1:15" ht="39.950000000000003" customHeight="1">
      <c r="A18" s="94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30"/>
      <c r="M18" s="130"/>
      <c r="O18" s="136">
        <f>SUM(O12:O17)</f>
        <v>0</v>
      </c>
    </row>
    <row r="25" spans="1:15">
      <c r="B25" s="103"/>
      <c r="C25" s="103"/>
      <c r="D25" s="103"/>
      <c r="E25" s="103"/>
      <c r="F25" s="103"/>
      <c r="G25" s="103"/>
      <c r="H25" s="103"/>
      <c r="I25" s="103"/>
      <c r="J25" s="103"/>
      <c r="K25" s="103"/>
    </row>
  </sheetData>
  <sheetProtection password="CC1B" sheet="1" objects="1" scenarios="1" selectLockedCells="1" selectUnlockedCells="1"/>
  <mergeCells count="8">
    <mergeCell ref="B1:F1"/>
    <mergeCell ref="B10:F10"/>
    <mergeCell ref="G10:K10"/>
    <mergeCell ref="G1:G2"/>
    <mergeCell ref="H1:H2"/>
    <mergeCell ref="L10:L11"/>
    <mergeCell ref="N10:N11"/>
    <mergeCell ref="O10:O1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4"/>
  <sheetViews>
    <sheetView view="pageBreakPreview" zoomScale="50" zoomScaleSheetLayoutView="50" workbookViewId="0"/>
  </sheetViews>
  <sheetFormatPr defaultRowHeight="18.75"/>
  <cols>
    <col min="1" max="1" width="20.625" customWidth="1"/>
    <col min="2" max="15" width="22.625" customWidth="1"/>
  </cols>
  <sheetData>
    <row r="1" spans="1:14" s="137" customFormat="1" ht="71.25">
      <c r="A1" s="93" t="s">
        <v>64</v>
      </c>
      <c r="B1" s="92" t="s">
        <v>4</v>
      </c>
      <c r="C1" s="93" t="s">
        <v>65</v>
      </c>
      <c r="D1" s="93" t="s">
        <v>31</v>
      </c>
      <c r="E1" s="93" t="s">
        <v>39</v>
      </c>
      <c r="F1" s="93" t="s">
        <v>34</v>
      </c>
      <c r="G1" s="160"/>
    </row>
    <row r="2" spans="1:14" s="137" customFormat="1" ht="39.950000000000003" customHeight="1">
      <c r="A2" s="138" t="s">
        <v>54</v>
      </c>
      <c r="B2" s="140">
        <f>COUNTIF(所得計算!N12:N17,"〇")</f>
        <v>0</v>
      </c>
      <c r="C2" s="140">
        <f>COUNTIF(試算シート!C23:C28,"〇")</f>
        <v>0</v>
      </c>
      <c r="D2" s="140" t="str">
        <f>IF(所得計算!O18&lt;=430000+100000*MAX(保険料計算!B2-1,0),"〇","×")</f>
        <v>〇</v>
      </c>
      <c r="E2" s="140" t="str">
        <f>IF(AND(所得計算!O18&lt;=430000+310000*C2+100000*MAX(保険料計算!B2-1,0),D2="×"),"〇","×")</f>
        <v>×</v>
      </c>
      <c r="F2" s="154" t="str">
        <f>IF(AND(所得計算!O18&lt;=430000+570000*C2+100000*MAX(保険料計算!B2-1,0),D2="×",E2="×"),"〇","×")</f>
        <v>×</v>
      </c>
      <c r="G2" s="137" t="s">
        <v>91</v>
      </c>
    </row>
    <row r="3" spans="1:14" s="137" customFormat="1" ht="39.950000000000003" customHeight="1">
      <c r="A3" s="139"/>
    </row>
    <row r="4" spans="1:14" ht="60" customHeight="1">
      <c r="A4" s="93" t="s">
        <v>63</v>
      </c>
      <c r="B4" s="93" t="s">
        <v>48</v>
      </c>
      <c r="C4" s="93" t="s">
        <v>67</v>
      </c>
      <c r="D4" s="92" t="s">
        <v>68</v>
      </c>
      <c r="E4" s="92" t="s">
        <v>69</v>
      </c>
      <c r="F4" s="92" t="s">
        <v>70</v>
      </c>
      <c r="G4" s="161" t="s">
        <v>74</v>
      </c>
      <c r="H4" s="92" t="s">
        <v>71</v>
      </c>
      <c r="I4" s="92" t="s">
        <v>72</v>
      </c>
      <c r="J4" s="92" t="s">
        <v>73</v>
      </c>
      <c r="K4" s="92" t="s">
        <v>75</v>
      </c>
      <c r="L4" s="92" t="s">
        <v>76</v>
      </c>
      <c r="M4" s="92" t="s">
        <v>77</v>
      </c>
      <c r="N4" s="92" t="s">
        <v>78</v>
      </c>
    </row>
    <row r="5" spans="1:14" ht="39.950000000000003" customHeight="1">
      <c r="A5" s="93" t="s">
        <v>17</v>
      </c>
      <c r="B5" s="141">
        <f>IF(試算シート!$C23="〇",試算シート!$K23*料率入力欄!$B$6,0)</f>
        <v>0</v>
      </c>
      <c r="C5" s="146">
        <f>IF(AND(試算シート!$C23="〇",$D$2="×",$E$2="×",$F$2="×",7&lt;=試算シート!$D23),料率入力欄!$C$6,0)</f>
        <v>0</v>
      </c>
      <c r="D5" s="150">
        <f>IF(AND(試算シート!$C23="〇",$D$2="〇",7&lt;=試算シート!$D23),料率入力欄!$C$6-料率入力欄!$J$5,0)</f>
        <v>0</v>
      </c>
      <c r="E5" s="150">
        <f>IF(AND(試算シート!$C23="〇",$E$2="〇",7&lt;=試算シート!$D23),料率入力欄!$C$6-料率入力欄!$J$4,0)</f>
        <v>0</v>
      </c>
      <c r="F5" s="155">
        <f>IF(AND(試算シート!$C23="〇",$F$2="〇",7&lt;=試算シート!$D23),料率入力欄!$C$6-料率入力欄!$J$3,0)</f>
        <v>0</v>
      </c>
      <c r="G5" s="162">
        <f>IF(AND(試算シート!$C23="〇",$D$2="×",$E$2="×",$F$2="×",試算シート!$D23&lt;=6),料率入力欄!$C$6-料率入力欄!$D$6,0)</f>
        <v>0</v>
      </c>
      <c r="H5" s="150">
        <f>IF(AND(試算シート!$C23="〇",$D$2="〇",試算シート!$D23&lt;=6),料率入力欄!$C$6-料率入力欄!$J$5-料率入力欄!$K$5,0)</f>
        <v>0</v>
      </c>
      <c r="I5" s="150">
        <f>IF(AND(試算シート!$C23="〇",$E$2="〇",試算シート!$D23&lt;=6),料率入力欄!$C$6-料率入力欄!$J$4-料率入力欄!$K$4,0)</f>
        <v>0</v>
      </c>
      <c r="J5" s="155">
        <f>IF(AND(試算シート!$C23="〇",$F$2="〇",試算シート!$D23&lt;=6),料率入力欄!$C$6-料率入力欄!$J$3-料率入力欄!$K$3,0)</f>
        <v>0</v>
      </c>
      <c r="K5" s="170">
        <f>IF(AND($D$2="×",$E$2="×",$F$2="×"),料率入力欄!$E$6,0)</f>
        <v>0</v>
      </c>
      <c r="L5" s="151">
        <f>IF(AND(OR(試算シート!C23="〇",試算シート!C24="〇",試算シート!C25="〇",試算シート!C26="〇",試算シート!C27="〇",試算シート!C28="〇",),D2="〇"),料率入力欄!$E$6-料率入力欄!$L$5,0)</f>
        <v>0</v>
      </c>
      <c r="M5" s="151">
        <f>IF(AND(OR(試算シート!C23="〇",試算シート!C24="〇",試算シート!C25="〇",試算シート!C26="〇",試算シート!C27="〇",試算シート!C28="〇",),E2="〇"),料率入力欄!$E$6-料率入力欄!$L$4,0)</f>
        <v>0</v>
      </c>
      <c r="N5" s="159">
        <f>IF(AND(OR(試算シート!C23="〇",試算シート!C24="〇",試算シート!C25="〇",試算シート!C26="〇",試算シート!C27="〇",試算シート!C28="〇",),F2="〇"),料率入力欄!$E$6-料率入力欄!$L$3,0)</f>
        <v>0</v>
      </c>
    </row>
    <row r="6" spans="1:14" ht="39.950000000000003" customHeight="1">
      <c r="A6" s="93" t="s">
        <v>25</v>
      </c>
      <c r="B6" s="142">
        <f>IF(試算シート!$C24="〇",試算シート!$K24*料率入力欄!$B$6,0)</f>
        <v>0</v>
      </c>
      <c r="C6" s="147">
        <f>IF(AND(試算シート!$C24="〇",$D$2="×",$E$2="×",$F$2="×",7&lt;=試算シート!$D24),料率入力欄!$C$6,0)</f>
        <v>0</v>
      </c>
      <c r="D6" s="152">
        <f>IF(AND(試算シート!$C24="〇",$D$2="〇",7&lt;=試算シート!$D24),料率入力欄!$C$6-料率入力欄!$J$5,0)</f>
        <v>0</v>
      </c>
      <c r="E6" s="152">
        <f>IF(AND(試算シート!$C24="〇",$E$2="〇",7&lt;=試算シート!$D24),料率入力欄!$C$6-料率入力欄!$J$4,0)</f>
        <v>0</v>
      </c>
      <c r="F6" s="156">
        <f>IF(AND(試算シート!$C24="〇",$F$2="〇",7&lt;=試算シート!$D24),料率入力欄!$C$6-料率入力欄!$J$3,0)</f>
        <v>0</v>
      </c>
      <c r="G6" s="163">
        <f>IF(AND(試算シート!$C24="〇",$D$2="×",$E$2="×",$F$2="×",試算シート!$D24&lt;=6),料率入力欄!$C$6-料率入力欄!$D$6,0)</f>
        <v>0</v>
      </c>
      <c r="H6" s="152">
        <f>IF(AND(試算シート!$C24="〇",$D$2="〇",試算シート!$D24&lt;=6),料率入力欄!$C$6-料率入力欄!$J$5-料率入力欄!$K$5,0)</f>
        <v>0</v>
      </c>
      <c r="I6" s="152">
        <f>IF(AND(試算シート!$C24="〇",$E$2="〇",試算シート!$D24&lt;=6),料率入力欄!$C$6-料率入力欄!$J$4-料率入力欄!$K$4,0)</f>
        <v>0</v>
      </c>
      <c r="J6" s="156">
        <f>IF(AND(試算シート!$C24="〇",$F$2="〇",試算シート!$D24&lt;=6),料率入力欄!$C$6-料率入力欄!$J$3-料率入力欄!$K$3,0)</f>
        <v>0</v>
      </c>
      <c r="K6" s="171"/>
      <c r="L6" s="171"/>
      <c r="M6" s="171"/>
      <c r="N6" s="171"/>
    </row>
    <row r="7" spans="1:14" ht="39.950000000000003" customHeight="1">
      <c r="A7" s="93" t="s">
        <v>18</v>
      </c>
      <c r="B7" s="142">
        <f>IF(試算シート!$C25="〇",試算シート!$K25*料率入力欄!$B$6,0)</f>
        <v>0</v>
      </c>
      <c r="C7" s="147">
        <f>IF(AND(試算シート!$C25="〇",$D$2="×",$E$2="×",$F$2="×",7&lt;=試算シート!$D25),料率入力欄!$C$6,0)</f>
        <v>0</v>
      </c>
      <c r="D7" s="152">
        <f>IF(AND(試算シート!$C25="〇",$D$2="〇",7&lt;=試算シート!$D25),料率入力欄!$C$6-料率入力欄!$J$5,0)</f>
        <v>0</v>
      </c>
      <c r="E7" s="152">
        <f>IF(AND(試算シート!$C25="〇",$E$2="〇",7&lt;=試算シート!$D25),料率入力欄!$C$6-料率入力欄!$J$4,0)</f>
        <v>0</v>
      </c>
      <c r="F7" s="156">
        <f>IF(AND(試算シート!$C25="〇",$F$2="〇",7&lt;=試算シート!$D25),料率入力欄!$C$6-料率入力欄!$J$3,0)</f>
        <v>0</v>
      </c>
      <c r="G7" s="163">
        <f>IF(AND(試算シート!$C25="〇",$D$2="×",$E$2="×",$F$2="×",試算シート!$D25&lt;=6),料率入力欄!$C$6-料率入力欄!$D$6,0)</f>
        <v>0</v>
      </c>
      <c r="H7" s="152">
        <f>IF(AND(試算シート!$C25="〇",$D$2="〇",試算シート!$D25&lt;=6),料率入力欄!$C$6-料率入力欄!$J$5-料率入力欄!$K$5,0)</f>
        <v>0</v>
      </c>
      <c r="I7" s="152">
        <f>IF(AND(試算シート!$C25="〇",$E$2="〇",試算シート!$D25&lt;=6),料率入力欄!$C$6-料率入力欄!$J$4-料率入力欄!$K$4,0)</f>
        <v>0</v>
      </c>
      <c r="J7" s="156">
        <f>IF(AND(試算シート!$C25="〇",$F$2="〇",試算シート!$D25&lt;=6),料率入力欄!$C$6-料率入力欄!$J$3-料率入力欄!$K$3,0)</f>
        <v>0</v>
      </c>
      <c r="K7" s="171"/>
      <c r="L7" s="171"/>
      <c r="M7" s="171"/>
      <c r="N7" s="171"/>
    </row>
    <row r="8" spans="1:14" ht="39.950000000000003" customHeight="1">
      <c r="A8" s="93" t="s">
        <v>9</v>
      </c>
      <c r="B8" s="142">
        <f>IF(試算シート!$C26="〇",試算シート!$K26*料率入力欄!$B$6,0)</f>
        <v>0</v>
      </c>
      <c r="C8" s="147">
        <f>IF(AND(試算シート!$C26="〇",$D$2="×",$E$2="×",$F$2="×",7&lt;=試算シート!$D26),料率入力欄!$C$6,0)</f>
        <v>0</v>
      </c>
      <c r="D8" s="152">
        <f>IF(AND(試算シート!$C26="〇",$D$2="〇",7&lt;=試算シート!$D26),料率入力欄!$C$6-料率入力欄!$J$5,0)</f>
        <v>0</v>
      </c>
      <c r="E8" s="152">
        <f>IF(AND(試算シート!$C26="〇",$E$2="〇",7&lt;=試算シート!$D26),料率入力欄!$C$6-料率入力欄!$J$4,0)</f>
        <v>0</v>
      </c>
      <c r="F8" s="156">
        <f>IF(AND(試算シート!$C26="〇",$F$2="〇",7&lt;=試算シート!$D26),料率入力欄!$C$6-料率入力欄!$J$3,0)</f>
        <v>0</v>
      </c>
      <c r="G8" s="163">
        <f>IF(AND(試算シート!$C26="〇",$D$2="×",$E$2="×",$F$2="×",試算シート!$D26&lt;=6),料率入力欄!$C$6-料率入力欄!$D$6,0)</f>
        <v>0</v>
      </c>
      <c r="H8" s="152">
        <f>IF(AND(試算シート!$C26="〇",$D$2="〇",試算シート!$D26&lt;=6),料率入力欄!$C$6-料率入力欄!$J$5-料率入力欄!$K$5,0)</f>
        <v>0</v>
      </c>
      <c r="I8" s="152">
        <f>IF(AND(試算シート!$C26="〇",$E$2="〇",試算シート!$D26&lt;=6),料率入力欄!$C$6-料率入力欄!$J$4-料率入力欄!$K$4,0)</f>
        <v>0</v>
      </c>
      <c r="J8" s="156">
        <f>IF(AND(試算シート!$C26="〇",$F$2="〇",試算シート!$D26&lt;=6),料率入力欄!$C$6-料率入力欄!$J$3-料率入力欄!$K$3,0)</f>
        <v>0</v>
      </c>
      <c r="K8" s="171"/>
      <c r="L8" s="171"/>
      <c r="M8" s="171"/>
      <c r="N8" s="171"/>
    </row>
    <row r="9" spans="1:14" ht="39.950000000000003" customHeight="1">
      <c r="A9" s="93" t="s">
        <v>45</v>
      </c>
      <c r="B9" s="142">
        <f>IF(試算シート!$C27="〇",試算シート!$K27*料率入力欄!$B$6,0)</f>
        <v>0</v>
      </c>
      <c r="C9" s="147">
        <f>IF(AND(試算シート!$C27="〇",$D$2="×",$E$2="×",$F$2="×",7&lt;=試算シート!$D27),料率入力欄!$C$6,0)</f>
        <v>0</v>
      </c>
      <c r="D9" s="152">
        <f>IF(AND(試算シート!$C27="〇",$D$2="〇",7&lt;=試算シート!$D27),料率入力欄!$C$6-料率入力欄!$J$5,0)</f>
        <v>0</v>
      </c>
      <c r="E9" s="152">
        <f>IF(AND(試算シート!$C27="〇",$E$2="〇",7&lt;=試算シート!$D27),料率入力欄!$C$6-料率入力欄!$J$4,0)</f>
        <v>0</v>
      </c>
      <c r="F9" s="156">
        <f>IF(AND(試算シート!$C27="〇",$F$2="〇",7&lt;=試算シート!$D27),料率入力欄!$C$6-料率入力欄!$J$3,0)</f>
        <v>0</v>
      </c>
      <c r="G9" s="163">
        <f>IF(AND(試算シート!$C27="〇",$D$2="×",$E$2="×",$F$2="×",試算シート!$D27&lt;=6),料率入力欄!$C$6-料率入力欄!$D$6,0)</f>
        <v>0</v>
      </c>
      <c r="H9" s="152">
        <f>IF(AND(試算シート!$C27="〇",$D$2="〇",試算シート!$D27&lt;=6),料率入力欄!$C$6-料率入力欄!$J$5-料率入力欄!$K$5,0)</f>
        <v>0</v>
      </c>
      <c r="I9" s="152">
        <f>IF(AND(試算シート!$C27="〇",$E$2="〇",試算シート!$D27&lt;=6),料率入力欄!$C$6-料率入力欄!$J$4-料率入力欄!$K$4,0)</f>
        <v>0</v>
      </c>
      <c r="J9" s="156">
        <f>IF(AND(試算シート!$C27="〇",$F$2="〇",試算シート!$D27&lt;=6),料率入力欄!$C$6-料率入力欄!$J$3-料率入力欄!$K$3,0)</f>
        <v>0</v>
      </c>
      <c r="K9" s="171"/>
      <c r="L9" s="171"/>
      <c r="M9" s="171"/>
      <c r="N9" s="171"/>
    </row>
    <row r="10" spans="1:14" ht="39.950000000000003" customHeight="1">
      <c r="A10" s="93" t="s">
        <v>46</v>
      </c>
      <c r="B10" s="143">
        <f>IF(試算シート!$C28="〇",試算シート!$K28*料率入力欄!$B$6,0)</f>
        <v>0</v>
      </c>
      <c r="C10" s="148">
        <f>IF(AND(試算シート!$C28="〇",$D$2="×",$E$2="×",$F$2="×",7&lt;=試算シート!$D28),料率入力欄!$C$6,0)</f>
        <v>0</v>
      </c>
      <c r="D10" s="153">
        <f>IF(AND(試算シート!$C28="〇",$D$2="〇",7&lt;=試算シート!$D28),料率入力欄!$C$6-料率入力欄!$J$5,0)</f>
        <v>0</v>
      </c>
      <c r="E10" s="153">
        <f>IF(AND(試算シート!$C28="〇",$E$2="〇",7&lt;=試算シート!$D28),料率入力欄!$C$6-料率入力欄!$J$4,0)</f>
        <v>0</v>
      </c>
      <c r="F10" s="157">
        <f>IF(AND(試算シート!$C28="〇",$F$2="〇",7&lt;=試算シート!$D28),料率入力欄!$C$6-料率入力欄!$J$3,0)</f>
        <v>0</v>
      </c>
      <c r="G10" s="164">
        <f>IF(AND(試算シート!$C28="〇",$D$2="×",$E$2="×",$F$2="×",試算シート!$D28&lt;=6),料率入力欄!$C$6-料率入力欄!$D$6,0)</f>
        <v>0</v>
      </c>
      <c r="H10" s="153">
        <f>IF(AND(試算シート!$C28="〇",$D$2="〇",試算シート!$D28&lt;=6),料率入力欄!$C$6-料率入力欄!$J$5-料率入力欄!$K$5,0)</f>
        <v>0</v>
      </c>
      <c r="I10" s="153">
        <f>IF(AND(試算シート!$C28="〇",$E$2="〇",試算シート!$D28&lt;=6),料率入力欄!$C$6-料率入力欄!$J$4-料率入力欄!$K$4,0)</f>
        <v>0</v>
      </c>
      <c r="J10" s="157">
        <f>IF(AND(試算シート!$C28="〇",$F$2="〇",試算シート!$D28&lt;=6),料率入力欄!$C$6-料率入力欄!$J$3-料率入力欄!$K$3,0)</f>
        <v>0</v>
      </c>
      <c r="K10" s="171"/>
      <c r="L10" s="171"/>
      <c r="M10" s="171"/>
      <c r="N10" s="171"/>
    </row>
    <row r="11" spans="1:14" ht="19.5"/>
    <row r="12" spans="1:14" ht="71.25">
      <c r="A12" s="93" t="s">
        <v>79</v>
      </c>
      <c r="B12" s="93" t="s">
        <v>48</v>
      </c>
      <c r="C12" s="93" t="s">
        <v>67</v>
      </c>
      <c r="D12" s="92" t="s">
        <v>68</v>
      </c>
      <c r="E12" s="92" t="s">
        <v>69</v>
      </c>
      <c r="F12" s="92" t="s">
        <v>70</v>
      </c>
      <c r="G12" s="161" t="s">
        <v>74</v>
      </c>
      <c r="H12" s="92" t="s">
        <v>71</v>
      </c>
      <c r="I12" s="92" t="s">
        <v>72</v>
      </c>
      <c r="J12" s="92" t="s">
        <v>73</v>
      </c>
      <c r="K12" s="92" t="s">
        <v>75</v>
      </c>
      <c r="L12" s="92" t="s">
        <v>76</v>
      </c>
      <c r="M12" s="92" t="s">
        <v>77</v>
      </c>
      <c r="N12" s="92" t="s">
        <v>78</v>
      </c>
    </row>
    <row r="13" spans="1:14" ht="36">
      <c r="A13" s="93" t="s">
        <v>17</v>
      </c>
      <c r="B13" s="141">
        <f>IF(試算シート!$C23="〇",試算シート!$K23*料率入力欄!$B$7,0)</f>
        <v>0</v>
      </c>
      <c r="C13" s="146">
        <f>IF(AND(試算シート!$C23="〇",$D$2="×",$E$2="×",$F$2="×",7&lt;=試算シート!$D23),料率入力欄!$C$7,0)</f>
        <v>0</v>
      </c>
      <c r="D13" s="150">
        <f>IF(AND(試算シート!$C23="〇",$D$2="〇",7&lt;=試算シート!$D23),料率入力欄!$C$7-料率入力欄!$J$8,0)</f>
        <v>0</v>
      </c>
      <c r="E13" s="150">
        <f>IF(AND(試算シート!$C23="〇",$E$2="〇",7&lt;=試算シート!$D23),料率入力欄!$C$7-料率入力欄!$J$7,0)</f>
        <v>0</v>
      </c>
      <c r="F13" s="155">
        <f>IF(AND(試算シート!$C23="〇",$F$2="〇",7&lt;=試算シート!$D23),料率入力欄!$C$7-料率入力欄!$J$6,0)</f>
        <v>0</v>
      </c>
      <c r="G13" s="162">
        <f>IF(AND(試算シート!$C23="〇",$D$2="×",$E$2="×",$F$2="×",試算シート!$D23&lt;=6),料率入力欄!$C$7-料率入力欄!$D$7,0)</f>
        <v>0</v>
      </c>
      <c r="H13" s="150">
        <f>IF(AND(試算シート!$C23="〇",$D$2="〇",試算シート!$D23&lt;=6),料率入力欄!$C$7-料率入力欄!$J$8-料率入力欄!$K$8,0)</f>
        <v>0</v>
      </c>
      <c r="I13" s="150">
        <f>IF(AND(試算シート!$C23="〇",$E$2="〇",試算シート!$D23&lt;=6),料率入力欄!$C$7-料率入力欄!$J$7-料率入力欄!$K$7,0)</f>
        <v>0</v>
      </c>
      <c r="J13" s="155">
        <f>IF(AND(試算シート!$C23="〇",$F$2="〇",試算シート!$D23&lt;=6),料率入力欄!$C$7-料率入力欄!$J$6-料率入力欄!$K$6,0)</f>
        <v>0</v>
      </c>
      <c r="K13" s="170">
        <f>IF(AND($D$2="×",$E$2="×",$F$2="×"),料率入力欄!$E$7,0)</f>
        <v>0</v>
      </c>
      <c r="L13" s="151">
        <f>IF(AND(OR(試算シート!C23="〇",試算シート!C24="〇",試算シート!C25="〇",試算シート!C26="〇",試算シート!C27="〇",試算シート!C28="〇",),D2="〇"),料率入力欄!$E$7-料率入力欄!$L$8,0)</f>
        <v>0</v>
      </c>
      <c r="M13" s="151">
        <f>IF(AND(OR(試算シート!C23="〇",試算シート!C24="〇",試算シート!C25="〇",試算シート!C26="〇",試算シート!C27="〇",試算シート!C28="〇",),E2="〇"),料率入力欄!$E$7-料率入力欄!$L$7,0)</f>
        <v>0</v>
      </c>
      <c r="N13" s="159">
        <f>IF(AND(OR(試算シート!C23="〇",試算シート!C24="〇",試算シート!C25="〇",試算シート!C26="〇",試算シート!C27="〇",試算シート!C28="〇",),F2="〇"),料率入力欄!$E$7-料率入力欄!$L$6,0)</f>
        <v>0</v>
      </c>
    </row>
    <row r="14" spans="1:14" ht="36">
      <c r="A14" s="93" t="s">
        <v>25</v>
      </c>
      <c r="B14" s="142">
        <f>IF(試算シート!$C24="〇",試算シート!$K24*料率入力欄!$B$7,0)</f>
        <v>0</v>
      </c>
      <c r="C14" s="147">
        <f>IF(AND(試算シート!$C24="〇",$D$2="×",$E$2="×",$F$2="×",7&lt;=試算シート!$D24),料率入力欄!$C$7,0)</f>
        <v>0</v>
      </c>
      <c r="D14" s="152">
        <f>IF(AND(試算シート!$C24="〇",$D$2="〇",7&lt;=試算シート!$D24),料率入力欄!$C$7-料率入力欄!$J$8,0)</f>
        <v>0</v>
      </c>
      <c r="E14" s="152">
        <f>IF(AND(試算シート!$C24="〇",$E$2="〇",7&lt;=試算シート!$D24),料率入力欄!$C$7-料率入力欄!$J$7,0)</f>
        <v>0</v>
      </c>
      <c r="F14" s="156">
        <f>IF(AND(試算シート!$C24="〇",$F$2="〇",7&lt;=試算シート!$D24),料率入力欄!$C$7-料率入力欄!$J$6,0)</f>
        <v>0</v>
      </c>
      <c r="G14" s="163">
        <f>IF(AND(試算シート!$C24="〇",$D$2="×",$E$2="×",$F$2="×",試算シート!$D24&lt;=6),料率入力欄!$C$7-料率入力欄!$D$7,0)</f>
        <v>0</v>
      </c>
      <c r="H14" s="152">
        <f>IF(AND(試算シート!$C24="〇",$D$2="〇",試算シート!$D24&lt;=6),料率入力欄!$C$7-料率入力欄!$J$8-料率入力欄!$K$8,0)</f>
        <v>0</v>
      </c>
      <c r="I14" s="152">
        <f>IF(AND(試算シート!$C24="〇",$E$2="〇",試算シート!$D24&lt;=6),料率入力欄!$C$7-料率入力欄!$J$7-料率入力欄!$K$7,0)</f>
        <v>0</v>
      </c>
      <c r="J14" s="156">
        <f>IF(AND(試算シート!$C24="〇",$F$2="〇",試算シート!$D24&lt;=6),料率入力欄!$C$7-料率入力欄!$J$6-料率入力欄!$K$6,0)</f>
        <v>0</v>
      </c>
      <c r="K14" s="171"/>
      <c r="L14" s="171"/>
      <c r="M14" s="171"/>
      <c r="N14" s="171"/>
    </row>
    <row r="15" spans="1:14" ht="36">
      <c r="A15" s="93" t="s">
        <v>18</v>
      </c>
      <c r="B15" s="142">
        <f>IF(試算シート!$C25="〇",試算シート!$K25*料率入力欄!$B$7,0)</f>
        <v>0</v>
      </c>
      <c r="C15" s="147">
        <f>IF(AND(試算シート!$C25="〇",$D$2="×",$E$2="×",$F$2="×",7&lt;=試算シート!$D25),料率入力欄!$C$7,0)</f>
        <v>0</v>
      </c>
      <c r="D15" s="152">
        <f>IF(AND(試算シート!$C25="〇",$D$2="〇",7&lt;=試算シート!$D25),料率入力欄!$C$7-料率入力欄!$J$8,0)</f>
        <v>0</v>
      </c>
      <c r="E15" s="152">
        <f>IF(AND(試算シート!$C25="〇",$E$2="〇",7&lt;=試算シート!$D25),料率入力欄!$C$7-料率入力欄!$J$7,0)</f>
        <v>0</v>
      </c>
      <c r="F15" s="156">
        <f>IF(AND(試算シート!$C25="〇",$F$2="〇",7&lt;=試算シート!$D25),料率入力欄!$C$7-料率入力欄!$J$6,0)</f>
        <v>0</v>
      </c>
      <c r="G15" s="163">
        <f>IF(AND(試算シート!$C25="〇",$D$2="×",$E$2="×",$F$2="×",試算シート!$D25&lt;=6),料率入力欄!$C$7-料率入力欄!$D$7,0)</f>
        <v>0</v>
      </c>
      <c r="H15" s="152">
        <f>IF(AND(試算シート!$C25="〇",$D$2="〇",試算シート!$D25&lt;=6),料率入力欄!$C$7-料率入力欄!$J$8-料率入力欄!$K$8,0)</f>
        <v>0</v>
      </c>
      <c r="I15" s="152">
        <f>IF(AND(試算シート!$C25="〇",$E$2="〇",試算シート!$D25&lt;=6),料率入力欄!$C$7-料率入力欄!$J$7-料率入力欄!$K$7,0)</f>
        <v>0</v>
      </c>
      <c r="J15" s="156">
        <f>IF(AND(試算シート!$C25="〇",$F$2="〇",試算シート!$D25&lt;=6),料率入力欄!$C$7-料率入力欄!$J$6-料率入力欄!$K$6,0)</f>
        <v>0</v>
      </c>
      <c r="K15" s="171"/>
      <c r="L15" s="171"/>
      <c r="M15" s="171"/>
      <c r="N15" s="171"/>
    </row>
    <row r="16" spans="1:14" ht="36">
      <c r="A16" s="93" t="s">
        <v>9</v>
      </c>
      <c r="B16" s="142">
        <f>IF(試算シート!$C26="〇",試算シート!$K26*料率入力欄!$B$7,0)</f>
        <v>0</v>
      </c>
      <c r="C16" s="147">
        <f>IF(AND(試算シート!$C26="〇",$D$2="×",$E$2="×",$F$2="×",7&lt;=試算シート!$D26),料率入力欄!$C$7,0)</f>
        <v>0</v>
      </c>
      <c r="D16" s="152">
        <f>IF(AND(試算シート!$C26="〇",$D$2="〇",7&lt;=試算シート!$D26),料率入力欄!$C$7-料率入力欄!$J$8,0)</f>
        <v>0</v>
      </c>
      <c r="E16" s="152">
        <f>IF(AND(試算シート!$C26="〇",$E$2="〇",7&lt;=試算シート!$D26),料率入力欄!$C$7-料率入力欄!$J$7,0)</f>
        <v>0</v>
      </c>
      <c r="F16" s="156">
        <f>IF(AND(試算シート!$C26="〇",$F$2="〇",7&lt;=試算シート!$D26),料率入力欄!$C$7-料率入力欄!$J$6,0)</f>
        <v>0</v>
      </c>
      <c r="G16" s="163">
        <f>IF(AND(試算シート!$C26="〇",$D$2="×",$E$2="×",$F$2="×",試算シート!$D26&lt;=6),料率入力欄!$C$7-料率入力欄!$D$7,0)</f>
        <v>0</v>
      </c>
      <c r="H16" s="152">
        <f>IF(AND(試算シート!$C26="〇",$D$2="〇",試算シート!$D26&lt;=6),料率入力欄!$C$7-料率入力欄!$J$8-料率入力欄!$K$8,0)</f>
        <v>0</v>
      </c>
      <c r="I16" s="152">
        <f>IF(AND(試算シート!$C26="〇",$E$2="〇",試算シート!$D26&lt;=6),料率入力欄!$C$7-料率入力欄!$J$7-料率入力欄!$K$7,0)</f>
        <v>0</v>
      </c>
      <c r="J16" s="156">
        <f>IF(AND(試算シート!$C26="〇",$F$2="〇",試算シート!$D26&lt;=6),料率入力欄!$C$7-料率入力欄!$J$6-料率入力欄!$K$6,0)</f>
        <v>0</v>
      </c>
      <c r="K16" s="171"/>
      <c r="L16" s="171"/>
      <c r="M16" s="171"/>
      <c r="N16" s="171"/>
    </row>
    <row r="17" spans="1:14" ht="36">
      <c r="A17" s="93" t="s">
        <v>45</v>
      </c>
      <c r="B17" s="142">
        <f>IF(試算シート!$C27="〇",試算シート!$K27*料率入力欄!$B$7,0)</f>
        <v>0</v>
      </c>
      <c r="C17" s="147">
        <f>IF(AND(試算シート!$C27="〇",$D$2="×",$E$2="×",$F$2="×",7&lt;=試算シート!$D27),料率入力欄!$C$7,0)</f>
        <v>0</v>
      </c>
      <c r="D17" s="152">
        <f>IF(AND(試算シート!$C27="〇",$D$2="〇",7&lt;=試算シート!$D27),料率入力欄!$C$7-料率入力欄!$J$8,0)</f>
        <v>0</v>
      </c>
      <c r="E17" s="152">
        <f>IF(AND(試算シート!$C27="〇",$E$2="〇",7&lt;=試算シート!$D27),料率入力欄!$C$7-料率入力欄!$J$7,0)</f>
        <v>0</v>
      </c>
      <c r="F17" s="156">
        <f>IF(AND(試算シート!$C27="〇",$F$2="〇",7&lt;=試算シート!$D27),料率入力欄!$C$7-料率入力欄!$J$6,0)</f>
        <v>0</v>
      </c>
      <c r="G17" s="163">
        <f>IF(AND(試算シート!$C27="〇",$D$2="×",$E$2="×",$F$2="×",試算シート!$D27&lt;=6),料率入力欄!$C$7-料率入力欄!$D$7,0)</f>
        <v>0</v>
      </c>
      <c r="H17" s="152">
        <f>IF(AND(試算シート!$C27="〇",$D$2="〇",試算シート!$D27&lt;=6),料率入力欄!$C$7-料率入力欄!$J$8-料率入力欄!$K$8,0)</f>
        <v>0</v>
      </c>
      <c r="I17" s="152">
        <f>IF(AND(試算シート!$C27="〇",$E$2="〇",試算シート!$D27&lt;=6),料率入力欄!$C$7-料率入力欄!$J$7-料率入力欄!$K$7,0)</f>
        <v>0</v>
      </c>
      <c r="J17" s="156">
        <f>IF(AND(試算シート!$C27="〇",$F$2="〇",試算シート!$D27&lt;=6),料率入力欄!$C$7-料率入力欄!$J$6-料率入力欄!$K$6,0)</f>
        <v>0</v>
      </c>
      <c r="K17" s="171"/>
      <c r="L17" s="171"/>
      <c r="M17" s="171"/>
      <c r="N17" s="171"/>
    </row>
    <row r="18" spans="1:14" ht="36">
      <c r="A18" s="93" t="s">
        <v>46</v>
      </c>
      <c r="B18" s="143">
        <f>IF(試算シート!$C28="〇",試算シート!$K28*料率入力欄!$B$7,0)</f>
        <v>0</v>
      </c>
      <c r="C18" s="148">
        <f>IF(AND(試算シート!$C28="〇",$D$2="×",$E$2="×",$F$2="×",7&lt;=試算シート!$D28),料率入力欄!$C$7,0)</f>
        <v>0</v>
      </c>
      <c r="D18" s="153">
        <f>IF(AND(試算シート!$C28="〇",$D$2="〇",7&lt;=試算シート!$D28),料率入力欄!$C$7-料率入力欄!$J$8,0)</f>
        <v>0</v>
      </c>
      <c r="E18" s="153">
        <f>IF(AND(試算シート!$C28="〇",$E$2="〇",7&lt;=試算シート!$D28),料率入力欄!$C$7-料率入力欄!$J$7,0)</f>
        <v>0</v>
      </c>
      <c r="F18" s="157">
        <f>IF(AND(試算シート!$C28="〇",$F$2="〇",7&lt;=試算シート!$D28),料率入力欄!$C$7-料率入力欄!$J$6,0)</f>
        <v>0</v>
      </c>
      <c r="G18" s="164">
        <f>IF(AND(試算シート!$C28="〇",$D$2="×",$E$2="×",$F$2="×",試算シート!$D28&lt;=6),料率入力欄!$C$7-料率入力欄!$D$7,0)</f>
        <v>0</v>
      </c>
      <c r="H18" s="153">
        <f>IF(AND(試算シート!$C28="〇",$D$2="〇",試算シート!$D28&lt;=6),料率入力欄!$C$7-料率入力欄!$J$8-料率入力欄!$K$8,0)</f>
        <v>0</v>
      </c>
      <c r="I18" s="153">
        <f>IF(AND(試算シート!$C28="〇",$E$2="〇",試算シート!$D28&lt;=6),料率入力欄!$C$7-料率入力欄!$J$7-料率入力欄!$K$7,0)</f>
        <v>0</v>
      </c>
      <c r="J18" s="157">
        <f>IF(AND(試算シート!$C28="〇",$F$2="〇",試算シート!$D28&lt;=6),料率入力欄!$C$7-料率入力欄!$J$6-料率入力欄!$K$6,0)</f>
        <v>0</v>
      </c>
      <c r="K18" s="171"/>
      <c r="L18" s="171"/>
      <c r="M18" s="171"/>
      <c r="N18" s="171"/>
    </row>
    <row r="19" spans="1:14" ht="19.5"/>
    <row r="20" spans="1:14" ht="71.25">
      <c r="A20" s="93" t="s">
        <v>80</v>
      </c>
      <c r="B20" s="93" t="s">
        <v>48</v>
      </c>
      <c r="C20" s="93" t="s">
        <v>67</v>
      </c>
      <c r="D20" s="92" t="s">
        <v>68</v>
      </c>
      <c r="E20" s="92" t="s">
        <v>69</v>
      </c>
      <c r="F20" s="92" t="s">
        <v>70</v>
      </c>
      <c r="G20" s="161" t="s">
        <v>75</v>
      </c>
      <c r="H20" s="92" t="s">
        <v>76</v>
      </c>
      <c r="I20" s="92" t="s">
        <v>77</v>
      </c>
      <c r="J20" s="92" t="s">
        <v>78</v>
      </c>
    </row>
    <row r="21" spans="1:14" ht="36">
      <c r="A21" s="93" t="s">
        <v>17</v>
      </c>
      <c r="B21" s="144">
        <f>IF(AND(試算シート!$C23="〇",40&lt;=試算シート!$D23,試算シート!$D23&lt;65),試算シート!$K23*料率入力欄!$B$8,0)</f>
        <v>0</v>
      </c>
      <c r="C21" s="149">
        <f>IF(AND(試算シート!$C23="〇",$D$2="×",$E$2="×",$F$2="×",40&lt;=試算シート!$D23,試算シート!$D23&lt;65),料率入力欄!$C$8,0)</f>
        <v>0</v>
      </c>
      <c r="D21" s="149">
        <f>IF(AND(試算シート!$C23="〇",$D$2="〇",40&lt;=試算シート!$D23,試算シート!$D23&lt;65),料率入力欄!$C$8-料率入力欄!$J$11,0)</f>
        <v>0</v>
      </c>
      <c r="E21" s="149">
        <f>IF(AND(試算シート!$C23="〇",$E$2="〇",40&lt;=試算シート!$D23,試算シート!$D23&lt;65),料率入力欄!$C$8-料率入力欄!$J$10,0)</f>
        <v>0</v>
      </c>
      <c r="F21" s="158">
        <f>IF(AND(試算シート!$C23="〇",$F$2="〇",40&lt;=試算シート!$D23,試算シート!$D23&lt;65),料率入力欄!$C$8-料率入力欄!$J$9,0)</f>
        <v>0</v>
      </c>
      <c r="G21" s="165">
        <f>IF(AND(試算シート!$C23="〇",$D$2="×",$E$2="×",$F$2="×",40&lt;=試算シート!$D23,試算シート!$D23&lt;65),料率入力欄!$E$8,0)</f>
        <v>0</v>
      </c>
      <c r="H21" s="165">
        <f>IF(AND(試算シート!$C23="〇",$D$2="〇",40&lt;=試算シート!$D23,試算シート!$D23&lt;65),料率入力欄!$E$8-料率入力欄!$L$11,0)</f>
        <v>0</v>
      </c>
      <c r="I21" s="165">
        <f>IF(AND(試算シート!$C23="〇",$E$2="〇",40&lt;=試算シート!$D23,試算シート!$D23&lt;65),料率入力欄!$E$8-料率入力欄!$L$10,0)</f>
        <v>0</v>
      </c>
      <c r="J21" s="168">
        <f>IF(AND(試算シート!$C23="〇",$F$2="〇",40&lt;=試算シート!$D23,試算シート!$D23&lt;65),料率入力欄!$E$8-料率入力欄!$L$9,0)</f>
        <v>0</v>
      </c>
    </row>
    <row r="22" spans="1:14" ht="36">
      <c r="A22" s="93" t="s">
        <v>25</v>
      </c>
      <c r="B22" s="142">
        <f>IF(AND(試算シート!$C24="〇",40&lt;=試算シート!$D24,試算シート!$D24&lt;65),試算シート!$K24*料率入力欄!$B$8,0)</f>
        <v>0</v>
      </c>
      <c r="C22" s="150">
        <f>IF(AND(試算シート!$C24="〇",$D$2="×",$E$2="×",$F$2="×",40&lt;=試算シート!$D24,試算シート!$D24&lt;65),料率入力欄!$C$8,0)</f>
        <v>0</v>
      </c>
      <c r="D22" s="152">
        <f>IF(AND(試算シート!$C24="〇",$D$2="〇",40&lt;=試算シート!$D24,試算シート!$D24&lt;65),料率入力欄!$C$8-料率入力欄!$J$11,0)</f>
        <v>0</v>
      </c>
      <c r="E22" s="152">
        <f>IF(AND(試算シート!$C24="〇",$E$2="〇",40&lt;=試算シート!$D24,試算シート!$D24&lt;65),料率入力欄!$C$8-料率入力欄!$J$10,0)</f>
        <v>0</v>
      </c>
      <c r="F22" s="156">
        <f>IF(AND(試算シート!$C24="〇",$F$2="〇",40&lt;=試算シート!$D24,試算シート!$D24&lt;65),料率入力欄!$C$8-料率入力欄!$J$9,0)</f>
        <v>0</v>
      </c>
    </row>
    <row r="23" spans="1:14" ht="36">
      <c r="A23" s="93" t="s">
        <v>18</v>
      </c>
      <c r="B23" s="142">
        <f>IF(AND(試算シート!$C25="〇",40&lt;=試算シート!$D25,試算シート!$D25&lt;65),試算シート!$K25*料率入力欄!$B$8,0)</f>
        <v>0</v>
      </c>
      <c r="C23" s="150">
        <f>IF(AND(試算シート!$C25="〇",$D$2="×",$E$2="×",$F$2="×",40&lt;=試算シート!$D25,試算シート!$D25&lt;65),料率入力欄!$C$8,0)</f>
        <v>0</v>
      </c>
      <c r="D23" s="152">
        <f>IF(AND(試算シート!$C25="〇",$D$2="〇",40&lt;=試算シート!$D25,試算シート!$D25&lt;65),料率入力欄!$C$8-料率入力欄!$J$11,0)</f>
        <v>0</v>
      </c>
      <c r="E23" s="152">
        <f>IF(AND(試算シート!$C25="〇",$E$2="〇",40&lt;=試算シート!$D25,試算シート!$D25&lt;65),料率入力欄!$C$8-料率入力欄!$J$10,0)</f>
        <v>0</v>
      </c>
      <c r="F23" s="156">
        <f>IF(AND(試算シート!$C25="〇",$F$2="〇",40&lt;=試算シート!$D25,試算シート!$D25&lt;65),料率入力欄!$C$8-料率入力欄!$J$9,0)</f>
        <v>0</v>
      </c>
    </row>
    <row r="24" spans="1:14" ht="36">
      <c r="A24" s="93" t="s">
        <v>9</v>
      </c>
      <c r="B24" s="142">
        <f>IF(AND(試算シート!$C26="〇",40&lt;=試算シート!$D26,試算シート!$D26&lt;65),試算シート!$K26*料率入力欄!$B$8,0)</f>
        <v>0</v>
      </c>
      <c r="C24" s="150">
        <f>IF(AND(試算シート!$C26="〇",$D$2="×",$E$2="×",$F$2="×",40&lt;=試算シート!$D26,試算シート!$D26&lt;65),料率入力欄!$C$8,0)</f>
        <v>0</v>
      </c>
      <c r="D24" s="152">
        <f>IF(AND(試算シート!$C26="〇",$D$2="〇",40&lt;=試算シート!$D26,試算シート!$D26&lt;65),料率入力欄!$C$8-料率入力欄!$J$11,0)</f>
        <v>0</v>
      </c>
      <c r="E24" s="152">
        <f>IF(AND(試算シート!$C26="〇",$E$2="〇",40&lt;=試算シート!$D26,試算シート!$D26&lt;65),料率入力欄!$C$8-料率入力欄!$J$10,0)</f>
        <v>0</v>
      </c>
      <c r="F24" s="156">
        <f>IF(AND(試算シート!$C26="〇",$F$2="〇",40&lt;=試算シート!$D26,試算シート!$D26&lt;65),料率入力欄!$C$8-料率入力欄!$J$9,0)</f>
        <v>0</v>
      </c>
    </row>
    <row r="25" spans="1:14" ht="36">
      <c r="A25" s="93" t="s">
        <v>45</v>
      </c>
      <c r="B25" s="142">
        <f>IF(AND(試算シート!$C27="〇",40&lt;=試算シート!$D27,試算シート!$D27&lt;65),試算シート!$K27*料率入力欄!$B$8,0)</f>
        <v>0</v>
      </c>
      <c r="C25" s="150">
        <f>IF(AND(試算シート!$C27="〇",$D$2="×",$E$2="×",$F$2="×",40&lt;=試算シート!$D27,試算シート!$D27&lt;65),料率入力欄!$C$8,0)</f>
        <v>0</v>
      </c>
      <c r="D25" s="152">
        <f>IF(AND(試算シート!$C27="〇",$D$2="〇",40&lt;=試算シート!$D27,試算シート!$D27&lt;65),料率入力欄!$C$8-料率入力欄!$J$11,0)</f>
        <v>0</v>
      </c>
      <c r="E25" s="152">
        <f>IF(AND(試算シート!$C27="〇",$E$2="〇",40&lt;=試算シート!$D27,試算シート!$D27&lt;65),料率入力欄!$C$8-料率入力欄!$J$10,0)</f>
        <v>0</v>
      </c>
      <c r="F25" s="156">
        <f>IF(AND(試算シート!$C27="〇",$F$2="〇",40&lt;=試算シート!$D27,試算シート!$D27&lt;65),料率入力欄!$C$8-料率入力欄!$J$9,0)</f>
        <v>0</v>
      </c>
    </row>
    <row r="26" spans="1:14" ht="36">
      <c r="A26" s="93" t="s">
        <v>46</v>
      </c>
      <c r="B26" s="143">
        <f>IF(AND(試算シート!$C28="〇",40&lt;=試算シート!$D28,試算シート!$D28&lt;65),試算シート!$K28*料率入力欄!$B$8,0)</f>
        <v>0</v>
      </c>
      <c r="C26" s="148">
        <f>IF(AND(試算シート!$C28="〇",$D$2="×",$E$2="×",$F$2="×",40&lt;=試算シート!$D28,試算シート!$D28&lt;65),料率入力欄!$C$8,0)</f>
        <v>0</v>
      </c>
      <c r="D26" s="153">
        <f>IF(AND(試算シート!$C28="〇",$D$2="〇",40&lt;=試算シート!$D28,試算シート!$D28&lt;65),料率入力欄!$C$8-料率入力欄!$J$11,0)</f>
        <v>0</v>
      </c>
      <c r="E26" s="153">
        <f>IF(AND(試算シート!$C28="〇",$E$2="〇",40&lt;=試算シート!$D28,試算シート!$D28&lt;65),料率入力欄!$C$8-料率入力欄!$J$10,0)</f>
        <v>0</v>
      </c>
      <c r="F26" s="157">
        <f>IF(AND(試算シート!$C28="〇",$F$2="〇",40&lt;=試算シート!$D28,試算シート!$D28&lt;65),料率入力欄!$C$8-料率入力欄!$J$9,0)</f>
        <v>0</v>
      </c>
    </row>
    <row r="27" spans="1:14" ht="19.5"/>
    <row r="28" spans="1:14" ht="71.25">
      <c r="A28" s="93" t="s">
        <v>109</v>
      </c>
      <c r="B28" s="93" t="s">
        <v>48</v>
      </c>
      <c r="C28" s="93" t="s">
        <v>67</v>
      </c>
      <c r="D28" s="92" t="s">
        <v>68</v>
      </c>
      <c r="E28" s="92" t="s">
        <v>69</v>
      </c>
      <c r="F28" s="92" t="s">
        <v>70</v>
      </c>
      <c r="G28" s="161" t="s">
        <v>75</v>
      </c>
      <c r="H28" s="92" t="s">
        <v>76</v>
      </c>
      <c r="I28" s="92" t="s">
        <v>77</v>
      </c>
      <c r="J28" s="92" t="s">
        <v>78</v>
      </c>
    </row>
    <row r="29" spans="1:14" ht="36">
      <c r="A29" s="93" t="s">
        <v>17</v>
      </c>
      <c r="B29" s="144">
        <f>IF(AND(試算シート!$C23="〇",19&lt;=試算シート!$D23),試算シート!$K23*料率入力欄!$B$9,0)</f>
        <v>0</v>
      </c>
      <c r="C29" s="149">
        <f>IF(AND(試算シート!$C23="〇",$D$2="×",$E$2="×",$F$2="×",19&lt;=試算シート!$D23),料率入力欄!$C$9,0)</f>
        <v>0</v>
      </c>
      <c r="D29" s="149">
        <f>IF(AND(試算シート!$C23="〇",$D$2="〇",19&lt;=試算シート!$D23),料率入力欄!$C$9-料率入力欄!$J$14,0)</f>
        <v>0</v>
      </c>
      <c r="E29" s="149">
        <f>IF(AND(試算シート!$C23="〇",E$2="〇",19&lt;=試算シート!$D23),料率入力欄!$C$9-料率入力欄!$J$13,0)</f>
        <v>0</v>
      </c>
      <c r="F29" s="158">
        <f>IF(AND(試算シート!$C23="〇",$F$2="〇",19&lt;=試算シート!$D23),料率入力欄!$C$9-料率入力欄!$J$12,0)</f>
        <v>0</v>
      </c>
      <c r="G29" s="166">
        <f>IF(AND(試算シート!$C23="〇",$D$2="×",$E$2="×",$F$2="×",19&lt;=試算シート!$D23),料率入力欄!$E$9,0)</f>
        <v>0</v>
      </c>
      <c r="H29" s="167">
        <f>IF(AND(試算シート!$C23="〇",$D$2="〇",19&lt;=試算シート!$D23),料率入力欄!$E$9-料率入力欄!$L$14,0)</f>
        <v>0</v>
      </c>
      <c r="I29" s="167">
        <f>IF(AND(試算シート!$C23="〇",$E$2="〇",19&lt;=試算シート!$D23),料率入力欄!$E$9-料率入力欄!$L$13,0)</f>
        <v>0</v>
      </c>
      <c r="J29" s="169">
        <f>IF(AND(試算シート!$C23="〇",$F$2="〇",19&lt;=試算シート!$D23),料率入力欄!$E$9-料率入力欄!$L$12,0)</f>
        <v>0</v>
      </c>
    </row>
    <row r="30" spans="1:14" ht="36">
      <c r="A30" s="93" t="s">
        <v>25</v>
      </c>
      <c r="B30" s="141">
        <f>IF(AND(試算シート!$C24="〇",19&lt;=試算シート!$D24),試算シート!$K24*料率入力欄!$B$9,0)</f>
        <v>0</v>
      </c>
      <c r="C30" s="150">
        <f>IF(AND(試算シート!$C24="〇",$D$2="×",$E$2="×",$F$2="×",19&lt;=試算シート!$D24),料率入力欄!$C$9,0)</f>
        <v>0</v>
      </c>
      <c r="D30" s="150">
        <f>IF(AND(試算シート!$C24="〇",$D$2="〇",19&lt;=試算シート!$D24),料率入力欄!$C$9-料率入力欄!$J$14,0)</f>
        <v>0</v>
      </c>
      <c r="E30" s="150">
        <f>IF(AND(試算シート!$C24="〇",E$2="〇",19&lt;=試算シート!$D24),料率入力欄!$C$9-料率入力欄!$J$13,0)</f>
        <v>0</v>
      </c>
      <c r="F30" s="155">
        <f>IF(AND(試算シート!$C24="〇",$F$2="〇",19&lt;=試算シート!$D24),料率入力欄!$C$9-料率入力欄!$J$12,0)</f>
        <v>0</v>
      </c>
    </row>
    <row r="31" spans="1:14" ht="36">
      <c r="A31" s="93" t="s">
        <v>18</v>
      </c>
      <c r="B31" s="141">
        <f>IF(AND(試算シート!$C25="〇",19&lt;=試算シート!$D25),試算シート!$K25*料率入力欄!$B$9,0)</f>
        <v>0</v>
      </c>
      <c r="C31" s="150">
        <f>IF(AND(試算シート!$C25="〇",$D$2="×",$E$2="×",$F$2="×",19&lt;=試算シート!$D25),料率入力欄!$C$9,0)</f>
        <v>0</v>
      </c>
      <c r="D31" s="150">
        <f>IF(AND(試算シート!$C25="〇",$D$2="〇",19&lt;=試算シート!$D25),料率入力欄!$C$9-料率入力欄!$J$14,0)</f>
        <v>0</v>
      </c>
      <c r="E31" s="150">
        <f>IF(AND(試算シート!$C25="〇",E$2="〇",19&lt;=試算シート!$D25),料率入力欄!$C$9-料率入力欄!$J$13,0)</f>
        <v>0</v>
      </c>
      <c r="F31" s="155">
        <f>IF(AND(試算シート!$C25="〇",$F$2="〇",19&lt;=試算シート!$D25),料率入力欄!$C$9-料率入力欄!$J$12,0)</f>
        <v>0</v>
      </c>
    </row>
    <row r="32" spans="1:14" ht="36">
      <c r="A32" s="93" t="s">
        <v>9</v>
      </c>
      <c r="B32" s="141">
        <f>IF(AND(試算シート!$C26="〇",19&lt;=試算シート!$D26),試算シート!$K26*料率入力欄!$B$9,0)</f>
        <v>0</v>
      </c>
      <c r="C32" s="150">
        <f>IF(AND(試算シート!$C26="〇",$D$2="×",$E$2="×",$F$2="×",19&lt;=試算シート!$D26),料率入力欄!$C$9,0)</f>
        <v>0</v>
      </c>
      <c r="D32" s="150">
        <f>IF(AND(試算シート!$C26="〇",$D$2="〇",19&lt;=試算シート!$D26),料率入力欄!$C$9-料率入力欄!$J$14,0)</f>
        <v>0</v>
      </c>
      <c r="E32" s="150">
        <f>IF(AND(試算シート!$C26="〇",E$2="〇",19&lt;=試算シート!$D26),料率入力欄!$C$9-料率入力欄!$J$13,0)</f>
        <v>0</v>
      </c>
      <c r="F32" s="155">
        <f>IF(AND(試算シート!$C26="〇",$F$2="〇",19&lt;=試算シート!$D26),料率入力欄!$C$9-料率入力欄!$J$12,0)</f>
        <v>0</v>
      </c>
    </row>
    <row r="33" spans="1:6" ht="36">
      <c r="A33" s="93" t="s">
        <v>45</v>
      </c>
      <c r="B33" s="141">
        <f>IF(AND(試算シート!$C27="〇",19&lt;=試算シート!$D27),試算シート!$K27*料率入力欄!$B$9,0)</f>
        <v>0</v>
      </c>
      <c r="C33" s="150">
        <f>IF(AND(試算シート!$C27="〇",$D$2="×",$E$2="×",$F$2="×",19&lt;=試算シート!$D27),料率入力欄!$C$9,0)</f>
        <v>0</v>
      </c>
      <c r="D33" s="150">
        <f>IF(AND(試算シート!$C27="〇",$D$2="〇",19&lt;=試算シート!$D27),料率入力欄!$C$9-料率入力欄!$J$14,0)</f>
        <v>0</v>
      </c>
      <c r="E33" s="150">
        <f>IF(AND(試算シート!$C27="〇",E$2="〇",19&lt;=試算シート!$D27),料率入力欄!$C$9-料率入力欄!$J$13,0)</f>
        <v>0</v>
      </c>
      <c r="F33" s="155">
        <f>IF(AND(試算シート!$C27="〇",$F$2="〇",19&lt;=試算シート!$D27),料率入力欄!$C$9-料率入力欄!$J$12,0)</f>
        <v>0</v>
      </c>
    </row>
    <row r="34" spans="1:6" ht="36">
      <c r="A34" s="93" t="s">
        <v>46</v>
      </c>
      <c r="B34" s="145">
        <f>IF(AND(試算シート!$C28="〇",19&lt;=試算シート!$D28),試算シート!$K28*料率入力欄!$B$9,0)</f>
        <v>0</v>
      </c>
      <c r="C34" s="151">
        <f>IF(AND(試算シート!$C28="〇",$D$2="×",$E$2="×",$F$2="×",19&lt;=試算シート!$D28),料率入力欄!$C$9,0)</f>
        <v>0</v>
      </c>
      <c r="D34" s="151">
        <f>IF(AND(試算シート!$C28="〇",$D$2="〇",19&lt;=試算シート!$D28),料率入力欄!$C$9-料率入力欄!$J$14,0)</f>
        <v>0</v>
      </c>
      <c r="E34" s="151">
        <f>IF(AND(試算シート!$C28="〇",E$2="〇",19&lt;=試算シート!$D28),料率入力欄!$C$9-料率入力欄!$J$13,0)</f>
        <v>0</v>
      </c>
      <c r="F34" s="159">
        <f>IF(AND(試算シート!$C28="〇",$F$2="〇",19&lt;=試算シート!$D28),料率入力欄!$C$9-料率入力欄!$J$12,0)</f>
        <v>0</v>
      </c>
    </row>
  </sheetData>
  <sheetProtection password="CC1B" sheet="1" objects="1" scenarios="1" selectLockedCells="1" selectUnlockedCells="1"/>
  <phoneticPr fontId="1"/>
  <pageMargins left="0.7" right="0.7" top="0.75" bottom="0.75" header="0.3" footer="0.3"/>
  <pageSetup paperSize="9" scale="27" fitToWidth="1" fitToHeight="1" orientation="portrait" usePrinterDefaults="1" r:id="rId1"/>
  <colBreaks count="1" manualBreakCount="1">
    <brk id="13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view="pageBreakPreview" zoomScale="60" zoomScaleNormal="70" workbookViewId="0">
      <selection sqref="A1:XFD1048576"/>
    </sheetView>
  </sheetViews>
  <sheetFormatPr defaultRowHeight="18.75"/>
  <cols>
    <col min="1" max="1" width="11.375" bestFit="1" customWidth="1"/>
    <col min="2" max="2" width="14" bestFit="1" customWidth="1"/>
    <col min="3" max="4" width="16.75" bestFit="1" customWidth="1"/>
    <col min="5" max="5" width="17" bestFit="1" customWidth="1"/>
    <col min="6" max="6" width="20.125" bestFit="1" customWidth="1"/>
    <col min="8" max="8" width="9" customWidth="1"/>
    <col min="9" max="9" width="14" bestFit="1" customWidth="1"/>
    <col min="10" max="10" width="23" bestFit="1" customWidth="1"/>
    <col min="11" max="11" width="16.75" bestFit="1" customWidth="1"/>
    <col min="12" max="12" width="19.375" bestFit="1" customWidth="1"/>
  </cols>
  <sheetData>
    <row r="1" spans="1:12" ht="24">
      <c r="A1" s="172"/>
      <c r="B1" s="172"/>
      <c r="C1" s="172"/>
      <c r="D1" s="172"/>
      <c r="E1" s="172"/>
      <c r="F1" s="172"/>
      <c r="G1" s="172"/>
    </row>
    <row r="2" spans="1:12" s="103" customFormat="1" ht="39.950000000000003" customHeight="1">
      <c r="G2" s="180"/>
      <c r="H2" s="174" t="s">
        <v>29</v>
      </c>
      <c r="I2" s="174" t="s">
        <v>30</v>
      </c>
      <c r="J2" s="174" t="s">
        <v>32</v>
      </c>
      <c r="K2" s="174" t="s">
        <v>21</v>
      </c>
      <c r="L2" s="174" t="s">
        <v>81</v>
      </c>
    </row>
    <row r="3" spans="1:12" ht="39.950000000000003" customHeight="1">
      <c r="G3" s="172"/>
      <c r="H3" s="174" t="s">
        <v>15</v>
      </c>
      <c r="I3" s="181">
        <v>2</v>
      </c>
      <c r="J3" s="182">
        <f>ROUNDUP($C$6*0.2,0)</f>
        <v>6998</v>
      </c>
      <c r="K3" s="182">
        <f>ROUNDUP(($C$6-J3)/2,0)</f>
        <v>13996</v>
      </c>
      <c r="L3" s="182">
        <f>ROUNDUP($E$6*0.2,0)</f>
        <v>6782</v>
      </c>
    </row>
    <row r="4" spans="1:12" ht="39.950000000000003" customHeight="1">
      <c r="G4" s="172"/>
      <c r="H4" s="174"/>
      <c r="I4" s="181">
        <v>5</v>
      </c>
      <c r="J4" s="182">
        <f>ROUNDUP($C$6*0.5,0)</f>
        <v>17495</v>
      </c>
      <c r="K4" s="182">
        <f>ROUNDUP(($C$6-J4)/2,0)</f>
        <v>8748</v>
      </c>
      <c r="L4" s="182">
        <f>ROUNDUP($E$6*0.5,0)</f>
        <v>16954</v>
      </c>
    </row>
    <row r="5" spans="1:12" ht="39.950000000000003" customHeight="1">
      <c r="A5" s="173" t="s">
        <v>16</v>
      </c>
      <c r="B5" s="174" t="s">
        <v>6</v>
      </c>
      <c r="C5" s="174" t="s">
        <v>20</v>
      </c>
      <c r="D5" s="174" t="s">
        <v>21</v>
      </c>
      <c r="E5" s="174" t="s">
        <v>22</v>
      </c>
      <c r="F5" s="174" t="s">
        <v>13</v>
      </c>
      <c r="G5" s="172"/>
      <c r="H5" s="174"/>
      <c r="I5" s="181">
        <v>7</v>
      </c>
      <c r="J5" s="182">
        <f>ROUNDUP($C$6*0.7,0)</f>
        <v>24493</v>
      </c>
      <c r="K5" s="182">
        <f>ROUNDUP(($C$6-J5)/2,0)</f>
        <v>5249</v>
      </c>
      <c r="L5" s="182">
        <f>ROUNDUP($E$6*0.7,0)</f>
        <v>23736</v>
      </c>
    </row>
    <row r="6" spans="1:12" ht="33">
      <c r="A6" s="174" t="s">
        <v>15</v>
      </c>
      <c r="B6" s="176">
        <v>9.5000000000000001e-002</v>
      </c>
      <c r="C6" s="177">
        <v>34990</v>
      </c>
      <c r="D6" s="177">
        <f>ROUNDUP(C6/2,0)</f>
        <v>17495</v>
      </c>
      <c r="E6" s="177">
        <v>33908</v>
      </c>
      <c r="F6" s="177">
        <v>660000</v>
      </c>
      <c r="G6" s="172"/>
      <c r="H6" s="174" t="s">
        <v>24</v>
      </c>
      <c r="I6" s="181">
        <v>2</v>
      </c>
      <c r="J6" s="182">
        <f>ROUNDUP($C$7*0.2,0)</f>
        <v>2239</v>
      </c>
      <c r="K6" s="182">
        <f>ROUNDUP(($C$7-J6)/2,0)</f>
        <v>4476</v>
      </c>
      <c r="L6" s="182">
        <f>ROUNDUP($E$7*0.2,0)</f>
        <v>2169</v>
      </c>
    </row>
    <row r="7" spans="1:12" ht="39.950000000000003" customHeight="1">
      <c r="A7" s="174" t="s">
        <v>24</v>
      </c>
      <c r="B7" s="176">
        <v>3.0599999999999999e-002</v>
      </c>
      <c r="C7" s="177">
        <v>11191</v>
      </c>
      <c r="D7" s="177">
        <f>ROUNDUP(C7/2,0)</f>
        <v>5596</v>
      </c>
      <c r="E7" s="177">
        <v>10845</v>
      </c>
      <c r="F7" s="177">
        <v>260000</v>
      </c>
      <c r="G7" s="172"/>
      <c r="H7" s="174"/>
      <c r="I7" s="181">
        <v>5</v>
      </c>
      <c r="J7" s="182">
        <f>ROUNDUP($C$7*0.5,0)</f>
        <v>5596</v>
      </c>
      <c r="K7" s="182">
        <f>ROUNDUP(($C$7-J7)/2,0)</f>
        <v>2798</v>
      </c>
      <c r="L7" s="182">
        <f>ROUNDUP($E$7*0.5,0)</f>
        <v>5423</v>
      </c>
    </row>
    <row r="8" spans="1:12" ht="39.950000000000003" customHeight="1">
      <c r="A8" s="174" t="s">
        <v>26</v>
      </c>
      <c r="B8" s="176">
        <v>2.5999999999999999e-002</v>
      </c>
      <c r="C8" s="177">
        <v>18682</v>
      </c>
      <c r="D8" s="178"/>
      <c r="E8" s="177">
        <v>0</v>
      </c>
      <c r="F8" s="177">
        <v>170000</v>
      </c>
      <c r="G8" s="172"/>
      <c r="H8" s="174"/>
      <c r="I8" s="181">
        <v>7</v>
      </c>
      <c r="J8" s="182">
        <f>ROUNDUP($C$7*0.7,0)</f>
        <v>7834</v>
      </c>
      <c r="K8" s="182">
        <f>ROUNDUP(($C$7-J8)/2,0)</f>
        <v>1679</v>
      </c>
      <c r="L8" s="182">
        <f>ROUNDUP($E$7*0.7,0)</f>
        <v>7592</v>
      </c>
    </row>
    <row r="9" spans="1:12" ht="39.950000000000003" customHeight="1">
      <c r="A9" s="174" t="s">
        <v>106</v>
      </c>
      <c r="B9" s="176">
        <v>2.8e-003</v>
      </c>
      <c r="C9" s="177">
        <v>1841</v>
      </c>
      <c r="D9" s="178"/>
      <c r="E9" s="177">
        <v>0</v>
      </c>
      <c r="F9" s="177">
        <v>30000</v>
      </c>
      <c r="G9" s="172"/>
      <c r="H9" s="174" t="s">
        <v>26</v>
      </c>
      <c r="I9" s="181">
        <v>2</v>
      </c>
      <c r="J9" s="182">
        <f>ROUNDUP($C$8*0.2,0)</f>
        <v>3737</v>
      </c>
      <c r="K9" s="183"/>
      <c r="L9" s="182">
        <v>0</v>
      </c>
    </row>
    <row r="10" spans="1:12" ht="39.950000000000003" customHeight="1">
      <c r="G10" s="172"/>
      <c r="H10" s="174"/>
      <c r="I10" s="181">
        <v>5</v>
      </c>
      <c r="J10" s="182">
        <f>ROUNDUP($C$8*0.5,0)</f>
        <v>9341</v>
      </c>
      <c r="K10" s="183"/>
      <c r="L10" s="182">
        <v>0</v>
      </c>
    </row>
    <row r="11" spans="1:12" ht="39.950000000000003" customHeight="1">
      <c r="F11" s="179"/>
      <c r="G11" s="172"/>
      <c r="H11" s="174"/>
      <c r="I11" s="181">
        <v>7</v>
      </c>
      <c r="J11" s="182">
        <f>ROUNDUP($C$8*0.7,0)</f>
        <v>13078</v>
      </c>
      <c r="K11" s="183"/>
      <c r="L11" s="182">
        <v>0</v>
      </c>
    </row>
    <row r="12" spans="1:12" ht="39.950000000000003" customHeight="1">
      <c r="F12" s="179"/>
      <c r="G12" s="172"/>
      <c r="H12" s="174" t="s">
        <v>106</v>
      </c>
      <c r="I12" s="181">
        <v>2</v>
      </c>
      <c r="J12" s="182">
        <f>ROUNDUP($C$9*0.2,0)</f>
        <v>369</v>
      </c>
      <c r="K12" s="183"/>
      <c r="L12" s="182">
        <v>0</v>
      </c>
    </row>
    <row r="13" spans="1:12" ht="39.950000000000003" customHeight="1">
      <c r="F13" s="179"/>
      <c r="G13" s="172"/>
      <c r="H13" s="174"/>
      <c r="I13" s="181">
        <v>5</v>
      </c>
      <c r="J13" s="182">
        <f>ROUNDUP($C$9*0.5,0)</f>
        <v>921</v>
      </c>
      <c r="K13" s="183"/>
      <c r="L13" s="182">
        <v>0</v>
      </c>
    </row>
    <row r="14" spans="1:12" s="172" customFormat="1" ht="39.950000000000003" customHeight="1">
      <c r="A14" s="175"/>
      <c r="F14" s="179"/>
      <c r="H14" s="174"/>
      <c r="I14" s="181">
        <v>7</v>
      </c>
      <c r="J14" s="182">
        <f>ROUNDUP($C$9*0.7,0)</f>
        <v>1289</v>
      </c>
      <c r="K14" s="183"/>
      <c r="L14" s="182">
        <v>0</v>
      </c>
    </row>
    <row r="15" spans="1:12" s="172" customFormat="1" ht="18.75" customHeight="1">
      <c r="A15" s="175"/>
      <c r="F15" s="179"/>
    </row>
    <row r="16" spans="1:12" s="172" customFormat="1" ht="18.75" customHeight="1">
      <c r="A16" s="175"/>
      <c r="F16" s="179"/>
    </row>
    <row r="17" spans="1:1" s="172" customFormat="1" ht="18.75" customHeight="1">
      <c r="A17" s="175"/>
    </row>
    <row r="18" spans="1:1" s="172" customFormat="1" ht="18.75" customHeight="1">
      <c r="A18" s="175"/>
    </row>
    <row r="19" spans="1:1" s="172" customFormat="1" ht="18.75" customHeight="1">
      <c r="A19" s="175"/>
    </row>
    <row r="20" spans="1:1" ht="18.75" customHeight="1"/>
    <row r="21" spans="1:1" ht="18.75" customHeight="1"/>
  </sheetData>
  <sheetProtection password="CC1B" sheet="1" objects="1" scenarios="1" selectLockedCells="1" selectUnlockedCells="1"/>
  <mergeCells count="4">
    <mergeCell ref="H3:H5"/>
    <mergeCell ref="H6:H8"/>
    <mergeCell ref="H9:H11"/>
    <mergeCell ref="H12:H14"/>
  </mergeCells>
  <phoneticPr fontId="1"/>
  <pageMargins left="0.7" right="0.7" top="0.75" bottom="0.75" header="0.3" footer="0.3"/>
  <pageSetup paperSize="9" scale="3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48"/>
  <sheetViews>
    <sheetView workbookViewId="0">
      <selection activeCell="R69" sqref="R69"/>
    </sheetView>
  </sheetViews>
  <sheetFormatPr defaultRowHeight="18.75"/>
  <cols>
    <col min="1" max="16384" width="9" style="6" customWidth="1"/>
  </cols>
  <sheetData>
    <row r="2" spans="1:1" ht="24.75">
      <c r="A2" s="184" t="s">
        <v>105</v>
      </c>
    </row>
    <row r="22" spans="1:1" ht="24.75">
      <c r="A22" s="184" t="s">
        <v>104</v>
      </c>
    </row>
    <row r="48" spans="1:1" ht="24.75">
      <c r="A48" s="184" t="s">
        <v>103</v>
      </c>
    </row>
  </sheetData>
  <sheetProtection algorithmName="SHA-512" hashValue="BMT++/eT914Fk6a3T38VsrZ9Zk2M4tJwcQndmrUkP3PS+3GBAvGZaTZGt3f5YE8h50oMNETVshAYUIInivUDlg==" saltValue="cIxgZhOaC1fex0UHfgD67A==" spinCount="100000" sheet="1" objects="1" scenarios="1" selectLockedCells="1"/>
  <phoneticPr fontId="1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試算シート</vt:lpstr>
      <vt:lpstr>所得計算</vt:lpstr>
      <vt:lpstr>保険料計算</vt:lpstr>
      <vt:lpstr>料率入力欄</vt:lpstr>
      <vt:lpstr>収入・所得の確認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2026-02-10T08:15:03Z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2026-02-10T08:15:03Z</vt:filetime>
  </property>
</Properties>
</file>